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alexi\Documents\scolaire\IPSA\AeroIpsa\SP02\STABTRAJ\pro24_4_4\"/>
    </mc:Choice>
  </mc:AlternateContent>
  <xr:revisionPtr revIDLastSave="0" documentId="13_ncr:1_{E717EDFC-5052-435B-97BC-390CA10C5DA4}" xr6:coauthVersionLast="47" xr6:coauthVersionMax="47" xr10:uidLastSave="{00000000-0000-0000-0000-000000000000}"/>
  <bookViews>
    <workbookView xWindow="28680" yWindow="-120" windowWidth="29040" windowHeight="15990" xr2:uid="{8F734721-2CB3-9848-BC12-36F644E3359A}"/>
  </bookViews>
  <sheets>
    <sheet name="Stabilito" sheetId="6" r:id="rId1"/>
    <sheet name="Trajecto" sheetId="1" r:id="rId2"/>
    <sheet name="Courbes" sheetId="2" r:id="rId3"/>
    <sheet name="Propu" sheetId="4" r:id="rId4"/>
    <sheet name="Calculs" sheetId="3" r:id="rId5"/>
    <sheet name="Abaco" sheetId="8" r:id="rId6"/>
    <sheet name="Info" sheetId="5" r:id="rId7"/>
    <sheet name="Controle" sheetId="7" r:id="rId8"/>
  </sheets>
  <definedNames>
    <definedName name="_xlnm._FilterDatabase" localSheetId="3" hidden="1">Propu!$O$307:$P$335</definedName>
    <definedName name="a_prop">Abaco!$G$41:$G$67</definedName>
    <definedName name="Acc_max">Trajecto!$L$24</definedName>
    <definedName name="acc_x">Calculs!$D$4:$D$1004</definedName>
    <definedName name="acc_xz">Calculs!$F$4:$F$1004</definedName>
    <definedName name="acc_z">Calculs!$E$4:$E$1004</definedName>
    <definedName name="Alt_para">Trajecto!$I$27</definedName>
    <definedName name="alt_prop">Abaco!$J$41:$J$67</definedName>
    <definedName name="Alt_rampe">Trajecto!$C$20</definedName>
    <definedName name="Alt_sat">Trajecto!$I$25</definedName>
    <definedName name="Altitude_culmi">Trajecto!$I$26</definedName>
    <definedName name="b_bal">Abaco!$I$41:$I$67</definedName>
    <definedName name="b_prop">Abaco!$H$41:$H$67</definedName>
    <definedName name="Beta">Calculs!$M$4:$M$1004</definedName>
    <definedName name="Beta_rampe">Trajecto!$C$19</definedName>
    <definedName name="BetaD">Calculs!$N$4:$N$1004</definedName>
    <definedName name="CdP">Propu!$B$3:$Y$4</definedName>
    <definedName name="CdP_P">Propu!$B$4:$Y$4</definedName>
    <definedName name="CdP_t">Propu!$B$3:$Y$3</definedName>
    <definedName name="Club">Stabilito!$C$9</definedName>
    <definedName name="Cn">Stabilito!$H$28</definedName>
    <definedName name="Cn0">Stabilito!$I$28</definedName>
    <definedName name="Cnai" localSheetId="0">Stabilito!$O$19</definedName>
    <definedName name="Cnai0">Stabilito!$P$19</definedName>
    <definedName name="Cnail" localSheetId="0">Stabilito!$O$20</definedName>
    <definedName name="Cnc" localSheetId="0">Stabilito!$O$21</definedName>
    <definedName name="Cni" localSheetId="0">Stabilito!$O$22</definedName>
    <definedName name="Cni0">Stabilito!$P$22</definedName>
    <definedName name="Cnj" localSheetId="0">Stabilito!$O$23</definedName>
    <definedName name="Cno" localSheetId="0">Stabilito!$O$18</definedName>
    <definedName name="Cnr" localSheetId="0">Stabilito!$O$24</definedName>
    <definedName name="Combustion">Propu!$X$2</definedName>
    <definedName name="CritCnmax" localSheetId="0">Stabilito!$J$28</definedName>
    <definedName name="CritCnmin" localSheetId="0">Stabilito!$G$28</definedName>
    <definedName name="CritFinessemax" localSheetId="0">Stabilito!$J$27</definedName>
    <definedName name="CritFinessemin" localSheetId="0">Stabilito!$G$27</definedName>
    <definedName name="CritMsCnmax" localSheetId="0">Stabilito!$J$30</definedName>
    <definedName name="CritMsCnmin" localSheetId="0">Stabilito!$G$30</definedName>
    <definedName name="CritMsmax" localSheetId="0">Stabilito!$J$29</definedName>
    <definedName name="CritMsmin" localSheetId="0">Stabilito!$G$29</definedName>
    <definedName name="Cx">Trajecto!$C$15</definedName>
    <definedName name="Cx_para">Trajecto!$C$28</definedName>
    <definedName name="Cx_satellite">Trajecto!$D$28</definedName>
    <definedName name="D_ail">Stabilito!$C$34</definedName>
    <definedName name="D_can" localSheetId="0">Stabilito!$D$34</definedName>
    <definedName name="D_int" localSheetId="0">Stabilito!$E$34</definedName>
    <definedName name="D_og">Stabilito!$C$23</definedName>
    <definedName name="D_ref">Stabilito!$C$14</definedName>
    <definedName name="D_var">Abaco!$B$41:$B$67</definedName>
    <definedName name="D1j">Stabilito!$M$7</definedName>
    <definedName name="D1r">Stabilito!$O$7</definedName>
    <definedName name="D2j">Stabilito!$M$8</definedName>
    <definedName name="D2r">Stabilito!$O$8</definedName>
    <definedName name="Débit">Calculs!$R$4:$R$1004</definedName>
    <definedName name="Depotage">Propu!$Z$2</definedName>
    <definedName name="Diam_propu">Propu!$T$2</definedName>
    <definedName name="Dt_para">Trajecto!$C$31</definedName>
    <definedName name="Dt_satellite">Trajecto!$D$31</definedName>
    <definedName name="Dx_para">Trajecto!$C$33</definedName>
    <definedName name="Dx_sat">Trajecto!$D$33</definedName>
    <definedName name="E_ail">Stabilito!$C$30</definedName>
    <definedName name="E_can">Stabilito!$D$30</definedName>
    <definedName name="E_int" localSheetId="0">Stabilito!$E$30</definedName>
    <definedName name="ep_ail">Stabilito!$C$31</definedName>
    <definedName name="ep_can">Stabilito!$D$31</definedName>
    <definedName name="ep_int" localSheetId="0">Stabilito!$E$31</definedName>
    <definedName name="Event">Calculs!$Y$4:$Y$1004</definedName>
    <definedName name="Event_para">Calculs!$Z$4:$Z$1004</definedName>
    <definedName name="Event_sat">Calculs!$AA$4:$AA$1004</definedName>
    <definedName name="f_ail" localSheetId="0">Stabilito!$C$35</definedName>
    <definedName name="f_can" localSheetId="0">Stabilito!$D$35</definedName>
    <definedName name="f_int" localSheetId="0">Stabilito!$E$35</definedName>
    <definedName name="Finesse">Stabilito!$H$27</definedName>
    <definedName name="Forme_ogive">Stabilito!$C$21</definedName>
    <definedName name="g">Info!$E$51</definedName>
    <definedName name="i_P">Calculs!$P$4:$P$1004</definedName>
    <definedName name="I_total">Propu!$D$2</definedName>
    <definedName name="ISP">Propu!$F$2</definedName>
    <definedName name="l_j">Stabilito!$M$6</definedName>
    <definedName name="l_r">Stabilito!$O$6</definedName>
    <definedName name="L_rampe">Trajecto!$C$18</definedName>
    <definedName name="Lang">Stabilito!$M$2</definedName>
    <definedName name="Liste_µfu">Propu!$F$307:$F$336</definedName>
    <definedName name="Liste_fusex">Propu!$R$307:$R$336</definedName>
    <definedName name="Liste_H2O">Propu!$C$307:$D$336</definedName>
    <definedName name="Liste_minif">Propu!$L$307:$M$336</definedName>
    <definedName name="Liste_minifT">Propu!$O$307:$O$336</definedName>
    <definedName name="Liste_propu">Propu!$A$307:$A$317</definedName>
    <definedName name="Liste_RC">Propu!$I$307:$J$336</definedName>
    <definedName name="Long_ogive">Stabilito!$C$22</definedName>
    <definedName name="Long_propu">Propu!$R$2</definedName>
    <definedName name="Long_tot">Stabilito!$C$13</definedName>
    <definedName name="m">Calculs!$S$4:$S$1004</definedName>
    <definedName name="m_ail">Stabilito!$C$27</definedName>
    <definedName name="m_bal">Abaco!$F$41:$F$67</definedName>
    <definedName name="m_can">Stabilito!$D$27</definedName>
    <definedName name="m_int" localSheetId="0">Stabilito!$E$27</definedName>
    <definedName name="m_poudre">Propu!$J$2</definedName>
    <definedName name="m_prop">Abaco!$E$41:$E$67</definedName>
    <definedName name="m_satellite">Trajecto!$D$24</definedName>
    <definedName name="m_tot">Trajecto!$C$10</definedName>
    <definedName name="m_var">Abaco!$D$41:$D$67</definedName>
    <definedName name="m_vide">Trajecto!$C$24</definedName>
    <definedName name="Masse_ail">Controle!$H$63</definedName>
    <definedName name="MassePlein">Stabilito!$M$14</definedName>
    <definedName name="MasseSans">Stabilito!$P$14</definedName>
    <definedName name="MasseVide">Stabilito!$N$14</definedName>
    <definedName name="Menu_Empennage">Stabilito!$B$111:$B$112</definedName>
    <definedName name="Menu_Lang">Stabilito!$B$93:$B$94</definedName>
    <definedName name="Menu_Ogive">Stabilito!$B$107:$B$109</definedName>
    <definedName name="Menu_sat">Trajecto!$B$104:$B$105</definedName>
    <definedName name="Menu_Transitions">Stabilito!$B$114:$B$115</definedName>
    <definedName name="Menu_Type">Stabilito!$B$96:$B$100</definedName>
    <definedName name="Menu_with_motor">Stabilito!$B$103:$B$105</definedName>
    <definedName name="MpropuPlein">Propu!$H$2</definedName>
    <definedName name="MpropuVide">Propu!$L$2</definedName>
    <definedName name="MS_Cn_max">Stabilito!$I$30</definedName>
    <definedName name="MS_Cn_max0">Stabilito!#REF!</definedName>
    <definedName name="MS_Cn_min">Stabilito!$H$30</definedName>
    <definedName name="MS_Cn_min0">Stabilito!#REF!</definedName>
    <definedName name="MS_max">Stabilito!$I$29</definedName>
    <definedName name="MS_max0">Stabilito!#REF!</definedName>
    <definedName name="MS_min">Stabilito!$H$29</definedName>
    <definedName name="MS_min0">Stabilito!#REF!</definedName>
    <definedName name="n_ail">Stabilito!$C$28</definedName>
    <definedName name="n_can">Stabilito!$D$28</definedName>
    <definedName name="n_int" localSheetId="0">Stabilito!$E$28</definedName>
    <definedName name="Nb_diam">Stabilito!$M$4</definedName>
    <definedName name="Nb_sat">Trajecto!$D$23</definedName>
    <definedName name="Nom">Stabilito!$C$8</definedName>
    <definedName name="p_ail">Stabilito!$C$29</definedName>
    <definedName name="p_can">Stabilito!$D$29</definedName>
    <definedName name="p_int" localSheetId="0">Stabilito!$E$29</definedName>
    <definedName name="pas">Calculs!$A$4:$A$1004</definedName>
    <definedName name="Poids">Calculs!$T$4:$T$1004</definedName>
    <definedName name="Portee_balistique">Trajecto!$J$28</definedName>
    <definedName name="pos_x">Calculs!$J$4:$J$1004</definedName>
    <definedName name="pos_xz">Calculs!$L$4:$L$1004</definedName>
    <definedName name="pos_z">Calculs!$K$4:$K$1004</definedName>
    <definedName name="pos_z_montant">Calculs!$AE$4:$AE$1004</definedName>
    <definedName name="Poussee">Calculs!$Q$4:$Q$1004</definedName>
    <definedName name="Propu">Stabilito!$C$17</definedName>
    <definedName name="Q_ail">Stabilito!$C$32</definedName>
    <definedName name="Q_can">Stabilito!$D$32</definedName>
    <definedName name="Q_int" localSheetId="0">Stabilito!$E$32</definedName>
    <definedName name="Q_var">Abaco!$C$41:$C$67</definedName>
    <definedName name="R_rampe">Calculs!$U$4:$U$1004</definedName>
    <definedName name="Rho">Calculs!$V$4:$V$1004</definedName>
    <definedName name="Rho_moyen">Info!$E$52</definedName>
    <definedName name="S_ail">Controle!$H$64</definedName>
    <definedName name="S_para">Trajecto!$C$27</definedName>
    <definedName name="S_para_croix">Trajecto!$B$47</definedName>
    <definedName name="S_para_rond">Trajecto!$B$55</definedName>
    <definedName name="S_satellite">Trajecto!$D$27</definedName>
    <definedName name="Sref">Trajecto!$C$14</definedName>
    <definedName name="sS">Trajecto!$F$132</definedName>
    <definedName name="t">Calculs!$B$4:$B$1004</definedName>
    <definedName name="T_balistique">Trajecto!$H$28</definedName>
    <definedName name="T_ini">Trajecto!$H$40</definedName>
    <definedName name="T_para">Trajecto!$C$113</definedName>
    <definedName name="T_satellite">Trajecto!$D$26</definedName>
    <definedName name="Temps_culmi">Trajecto!$H$26</definedName>
    <definedName name="Temps_fin_propu">Propu!$X$3</definedName>
    <definedName name="Trainee">Calculs!$W$4:$W$1004</definedName>
    <definedName name="tT_fus">Trajecto!$F$133</definedName>
    <definedName name="tT_sat">Trajecto!$F$150</definedName>
    <definedName name="Type_fusee">Stabilito!$C$10</definedName>
    <definedName name="Type_masquage" localSheetId="5">Stabilito!$C$26</definedName>
    <definedName name="Type_masquage" localSheetId="0">Stabilito!$C$26</definedName>
    <definedName name="Type_propu">Propu!$V$2</definedName>
    <definedName name="V_ini">Trajecto!$K$40</definedName>
    <definedName name="V_ouv_sat">Trajecto!$K$25</definedName>
    <definedName name="V_ouverture">Trajecto!$K$27</definedName>
    <definedName name="V_para">Trajecto!$C$30</definedName>
    <definedName name="V_prop">Abaco!$K$41:$K$67</definedName>
    <definedName name="V_satellite">Trajecto!$D$30</definedName>
    <definedName name="V_vent">Trajecto!$C$29</definedName>
    <definedName name="V_vent_sat">Trajecto!$D$29</definedName>
    <definedName name="Version" localSheetId="0">Stabilito!$Q$36</definedName>
    <definedName name="Version" localSheetId="1">Trajecto!$N$35</definedName>
    <definedName name="Vit_culmi">Trajecto!$K$26</definedName>
    <definedName name="Vit_max">Trajecto!$K$24</definedName>
    <definedName name="vit_x">Calculs!$G$4:$G$1004</definedName>
    <definedName name="vit_xz">Calculs!$I$4:$I$1004</definedName>
    <definedName name="vit_z">Calculs!$H$4:$H$1004</definedName>
    <definedName name="Vsortie_de_rampe">Trajecto!$K$23</definedName>
    <definedName name="X_ail">Stabilito!$C$33</definedName>
    <definedName name="X_can">Stabilito!$D$33</definedName>
    <definedName name="X_culmi">Trajecto!$J$26</definedName>
    <definedName name="X_ini">Trajecto!$J$40</definedName>
    <definedName name="X_int" localSheetId="0">Stabilito!$E$33</definedName>
    <definedName name="X_j">Stabilito!$M$9</definedName>
    <definedName name="X_para">Trajecto!$J$27</definedName>
    <definedName name="X_r">Stabilito!$O$9</definedName>
    <definedName name="X_satellite">Trajecto!$J$25</definedName>
    <definedName name="XcgPlein">Stabilito!$M$15</definedName>
    <definedName name="XcgSans">Stabilito!$P$15</definedName>
    <definedName name="XcgVide">Stabilito!$N$15</definedName>
    <definedName name="XCp" localSheetId="0">Stabilito!$H$31</definedName>
    <definedName name="XCp0">Stabilito!$I$31</definedName>
    <definedName name="XCpa" localSheetId="0">Stabilito!$M$20</definedName>
    <definedName name="XCpai" localSheetId="0">Stabilito!$M$19</definedName>
    <definedName name="XCpai0">Stabilito!$N$19</definedName>
    <definedName name="XCpc" localSheetId="0">Stabilito!$M$21</definedName>
    <definedName name="XCpi" localSheetId="0">Stabilito!$M$22</definedName>
    <definedName name="XCpi0">Stabilito!$N$22</definedName>
    <definedName name="XCpj" localSheetId="0">Stabilito!$M$23</definedName>
    <definedName name="XCpo" localSheetId="0">Stabilito!$M$18</definedName>
    <definedName name="XCpr" localSheetId="0">Stabilito!$M$24</definedName>
    <definedName name="XpropuPlein">Propu!$N$2</definedName>
    <definedName name="XpropuRef">Stabilito!$C$18</definedName>
    <definedName name="XpropuVide">Propu!$P$2</definedName>
    <definedName name="Z_ini">Trajecto!$I$40</definedName>
    <definedName name="_xlnm.Print_Area" localSheetId="5">Abaco!$A$1:$M$35</definedName>
    <definedName name="_xlnm.Print_Area" localSheetId="2">Courbes!$A$1:$K$78</definedName>
    <definedName name="_xlnm.Print_Area" localSheetId="0">Stabilito!$A$1:$Q$37</definedName>
    <definedName name="_xlnm.Print_Area" localSheetId="1">Trajecto!$A$1:$N$35</definedName>
    <definedName name="zZ_fus">Trajecto!$F$134</definedName>
    <definedName name="zZ_sat">Trajecto!$F$151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6" l="1"/>
  <c r="O8" i="6"/>
  <c r="O7" i="6"/>
  <c r="M8" i="6"/>
  <c r="M7" i="6"/>
  <c r="C18" i="6" l="1"/>
  <c r="F27" i="7" l="1"/>
  <c r="M23" i="6"/>
  <c r="C172" i="6"/>
  <c r="I317" i="4"/>
  <c r="I316" i="4"/>
  <c r="I315" i="4"/>
  <c r="I314" i="4"/>
  <c r="I313" i="4"/>
  <c r="I312" i="4"/>
  <c r="I311" i="4"/>
  <c r="I310" i="4"/>
  <c r="I309" i="4"/>
  <c r="I308" i="4"/>
  <c r="I307" i="4"/>
  <c r="L311" i="4"/>
  <c r="D103" i="4"/>
  <c r="E103" i="4"/>
  <c r="F103" i="4"/>
  <c r="G103" i="4"/>
  <c r="F105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S98" i="4"/>
  <c r="T98" i="4"/>
  <c r="U98" i="4"/>
  <c r="V98" i="4"/>
  <c r="W98" i="4"/>
  <c r="X98" i="4"/>
  <c r="D98" i="4"/>
  <c r="E98" i="4"/>
  <c r="F98" i="4"/>
  <c r="G98" i="4"/>
  <c r="H98" i="4"/>
  <c r="I98" i="4"/>
  <c r="J98" i="4"/>
  <c r="K98" i="4"/>
  <c r="L98" i="4"/>
  <c r="K100" i="4" s="1"/>
  <c r="M98" i="4"/>
  <c r="N98" i="4"/>
  <c r="O98" i="4"/>
  <c r="O100" i="4" s="1"/>
  <c r="P98" i="4"/>
  <c r="Q98" i="4"/>
  <c r="R98" i="4"/>
  <c r="C103" i="4"/>
  <c r="C98" i="4"/>
  <c r="X104" i="4"/>
  <c r="W104" i="4"/>
  <c r="V104" i="4"/>
  <c r="U104" i="4"/>
  <c r="T105" i="4" s="1"/>
  <c r="T104" i="4"/>
  <c r="S104" i="4"/>
  <c r="R104" i="4"/>
  <c r="Q104" i="4"/>
  <c r="P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B105" i="4" s="1"/>
  <c r="L102" i="4"/>
  <c r="J102" i="4" s="1"/>
  <c r="H102" i="4"/>
  <c r="B102" i="4"/>
  <c r="X99" i="4"/>
  <c r="W99" i="4"/>
  <c r="V100" i="4" s="1"/>
  <c r="V99" i="4"/>
  <c r="U99" i="4"/>
  <c r="T99" i="4"/>
  <c r="S99" i="4"/>
  <c r="R99" i="4"/>
  <c r="Q99" i="4"/>
  <c r="P99" i="4"/>
  <c r="O99" i="4"/>
  <c r="N99" i="4"/>
  <c r="M100" i="4"/>
  <c r="M99" i="4"/>
  <c r="L99" i="4"/>
  <c r="K99" i="4"/>
  <c r="J99" i="4"/>
  <c r="I99" i="4"/>
  <c r="H99" i="4"/>
  <c r="G99" i="4"/>
  <c r="G100" i="4" s="1"/>
  <c r="F99" i="4"/>
  <c r="E99" i="4"/>
  <c r="D99" i="4"/>
  <c r="C99" i="4"/>
  <c r="B99" i="4"/>
  <c r="L97" i="4"/>
  <c r="H97" i="4"/>
  <c r="B97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J92" i="4"/>
  <c r="B92" i="4"/>
  <c r="O334" i="4"/>
  <c r="O333" i="4"/>
  <c r="O332" i="4"/>
  <c r="O33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J198" i="4"/>
  <c r="B198" i="4"/>
  <c r="E5" i="7"/>
  <c r="H7" i="7"/>
  <c r="E7" i="7"/>
  <c r="E6" i="7"/>
  <c r="H9" i="7"/>
  <c r="K25" i="7"/>
  <c r="K24" i="7"/>
  <c r="J26" i="7"/>
  <c r="J25" i="7"/>
  <c r="J24" i="7"/>
  <c r="J23" i="7"/>
  <c r="G27" i="7"/>
  <c r="G26" i="7"/>
  <c r="F26" i="7"/>
  <c r="G25" i="7"/>
  <c r="F25" i="7"/>
  <c r="G24" i="7"/>
  <c r="F24" i="7"/>
  <c r="G23" i="7"/>
  <c r="F23" i="7"/>
  <c r="D27" i="7"/>
  <c r="D24" i="7"/>
  <c r="B31" i="6"/>
  <c r="B30" i="6"/>
  <c r="B29" i="6"/>
  <c r="B28" i="6"/>
  <c r="B27" i="6"/>
  <c r="B35" i="6"/>
  <c r="B34" i="6"/>
  <c r="B33" i="6"/>
  <c r="B32" i="6"/>
  <c r="U35" i="7"/>
  <c r="U34" i="7"/>
  <c r="U33" i="7"/>
  <c r="U32" i="7"/>
  <c r="U31" i="7"/>
  <c r="U30" i="7"/>
  <c r="P32" i="7"/>
  <c r="P31" i="7"/>
  <c r="Q34" i="7"/>
  <c r="P29" i="7"/>
  <c r="Q17" i="7"/>
  <c r="U16" i="7"/>
  <c r="Q12" i="7"/>
  <c r="U11" i="7"/>
  <c r="Q3" i="7"/>
  <c r="E17" i="7"/>
  <c r="E16" i="7"/>
  <c r="E15" i="7"/>
  <c r="E13" i="7"/>
  <c r="B52" i="1"/>
  <c r="B50" i="1"/>
  <c r="B55" i="1"/>
  <c r="D27" i="1"/>
  <c r="I69" i="7" s="1"/>
  <c r="D24" i="1"/>
  <c r="C18" i="1"/>
  <c r="H8" i="7" s="1"/>
  <c r="C161" i="6"/>
  <c r="C162" i="6"/>
  <c r="C160" i="6"/>
  <c r="C159" i="6"/>
  <c r="C158" i="6"/>
  <c r="C25" i="6"/>
  <c r="M21" i="6"/>
  <c r="H6" i="7"/>
  <c r="F108" i="1"/>
  <c r="C113" i="1" s="1"/>
  <c r="C152" i="1"/>
  <c r="C150" i="1"/>
  <c r="C148" i="1"/>
  <c r="N33" i="1"/>
  <c r="C19" i="6"/>
  <c r="C131" i="1"/>
  <c r="B25" i="1"/>
  <c r="L310" i="4"/>
  <c r="L309" i="4"/>
  <c r="J30" i="6"/>
  <c r="E190" i="6" s="1"/>
  <c r="G30" i="6"/>
  <c r="E184" i="6" s="1"/>
  <c r="J29" i="6"/>
  <c r="B188" i="6" s="1"/>
  <c r="G29" i="6"/>
  <c r="J28" i="6"/>
  <c r="C185" i="6" s="1"/>
  <c r="J27" i="6"/>
  <c r="G28" i="6"/>
  <c r="C183" i="6" s="1"/>
  <c r="G27" i="6"/>
  <c r="W35" i="6"/>
  <c r="B100" i="6"/>
  <c r="L308" i="4"/>
  <c r="L307" i="4"/>
  <c r="B97" i="6"/>
  <c r="B98" i="6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S235" i="4"/>
  <c r="S234" i="4"/>
  <c r="T234" i="4" s="1"/>
  <c r="U234" i="4" s="1"/>
  <c r="J233" i="4"/>
  <c r="B233" i="4"/>
  <c r="O311" i="4"/>
  <c r="O310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V130" i="4"/>
  <c r="U131" i="4" s="1"/>
  <c r="T131" i="4"/>
  <c r="J128" i="4"/>
  <c r="B128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T125" i="4"/>
  <c r="S126" i="4" s="1"/>
  <c r="J123" i="4"/>
  <c r="B123" i="4"/>
  <c r="O330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V250" i="4"/>
  <c r="W250" i="4" s="1"/>
  <c r="V249" i="4"/>
  <c r="W249" i="4" s="1"/>
  <c r="X249" i="4" s="1"/>
  <c r="J248" i="4"/>
  <c r="B248" i="4"/>
  <c r="O327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S230" i="4"/>
  <c r="T230" i="4" s="1"/>
  <c r="U230" i="4" s="1"/>
  <c r="S229" i="4"/>
  <c r="T229" i="4" s="1"/>
  <c r="U229" i="4" s="1"/>
  <c r="V229" i="4" s="1"/>
  <c r="W229" i="4" s="1"/>
  <c r="J228" i="4"/>
  <c r="B228" i="4"/>
  <c r="O33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S206" i="4"/>
  <c r="R206" i="4"/>
  <c r="J203" i="4"/>
  <c r="B203" i="4"/>
  <c r="O326" i="4"/>
  <c r="O325" i="4"/>
  <c r="O324" i="4"/>
  <c r="O323" i="4"/>
  <c r="O328" i="4"/>
  <c r="O329" i="4"/>
  <c r="O335" i="4"/>
  <c r="O313" i="4"/>
  <c r="O314" i="4"/>
  <c r="O315" i="4"/>
  <c r="O316" i="4"/>
  <c r="O317" i="4"/>
  <c r="O309" i="4"/>
  <c r="O312" i="4"/>
  <c r="O318" i="4"/>
  <c r="O319" i="4"/>
  <c r="O320" i="4"/>
  <c r="O321" i="4"/>
  <c r="O322" i="4"/>
  <c r="O308" i="4"/>
  <c r="O307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J223" i="4"/>
  <c r="B223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T220" i="4"/>
  <c r="U220" i="4" s="1"/>
  <c r="R221" i="4"/>
  <c r="T219" i="4"/>
  <c r="U219" i="4" s="1"/>
  <c r="V219" i="4" s="1"/>
  <c r="W219" i="4" s="1"/>
  <c r="J218" i="4"/>
  <c r="B218" i="4"/>
  <c r="V244" i="4"/>
  <c r="W244" i="4" s="1"/>
  <c r="W239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J243" i="4"/>
  <c r="B243" i="4"/>
  <c r="J241" i="4"/>
  <c r="I241" i="4"/>
  <c r="H241" i="4"/>
  <c r="G241" i="4"/>
  <c r="F241" i="4"/>
  <c r="E241" i="4"/>
  <c r="D241" i="4"/>
  <c r="C241" i="4"/>
  <c r="B241" i="4"/>
  <c r="J238" i="4"/>
  <c r="B238" i="4"/>
  <c r="L189" i="4"/>
  <c r="M189" i="4" s="1"/>
  <c r="R324" i="4"/>
  <c r="R325" i="4"/>
  <c r="R326" i="4"/>
  <c r="R327" i="4"/>
  <c r="R328" i="4"/>
  <c r="R329" i="4"/>
  <c r="S190" i="4"/>
  <c r="T190" i="4" s="1"/>
  <c r="U190" i="4" s="1"/>
  <c r="J191" i="4"/>
  <c r="I191" i="4"/>
  <c r="H191" i="4"/>
  <c r="G191" i="4"/>
  <c r="F191" i="4"/>
  <c r="E191" i="4"/>
  <c r="D191" i="4"/>
  <c r="C191" i="4"/>
  <c r="B191" i="4"/>
  <c r="J188" i="4"/>
  <c r="B188" i="4"/>
  <c r="S195" i="4"/>
  <c r="T195" i="4" s="1"/>
  <c r="S194" i="4"/>
  <c r="T194" i="4" s="1"/>
  <c r="U194" i="4" s="1"/>
  <c r="V194" i="4" s="1"/>
  <c r="W194" i="4" s="1"/>
  <c r="X194" i="4" s="1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J193" i="4"/>
  <c r="B193" i="4"/>
  <c r="B208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S210" i="4"/>
  <c r="T210" i="4" s="1"/>
  <c r="S209" i="4"/>
  <c r="J208" i="4"/>
  <c r="A2" i="4"/>
  <c r="B2" i="4" s="1"/>
  <c r="B133" i="4"/>
  <c r="B4" i="3"/>
  <c r="AD4" i="3" s="1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J133" i="4"/>
  <c r="N4" i="3"/>
  <c r="M4" i="3" s="1"/>
  <c r="J4" i="3"/>
  <c r="K4" i="3"/>
  <c r="V4" i="3" s="1"/>
  <c r="I4" i="3"/>
  <c r="B113" i="4"/>
  <c r="C35" i="6"/>
  <c r="M18" i="6"/>
  <c r="C184" i="6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U115" i="4"/>
  <c r="T116" i="4" s="1"/>
  <c r="J113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T160" i="4"/>
  <c r="S161" i="4" s="1"/>
  <c r="X159" i="4"/>
  <c r="L158" i="4"/>
  <c r="J158" i="4" s="1"/>
  <c r="B47" i="1"/>
  <c r="C27" i="1" s="1"/>
  <c r="D29" i="1"/>
  <c r="B29" i="4"/>
  <c r="C29" i="4"/>
  <c r="D29" i="4"/>
  <c r="E29" i="4"/>
  <c r="F29" i="4"/>
  <c r="G29" i="4"/>
  <c r="H29" i="4"/>
  <c r="D26" i="4" s="1"/>
  <c r="F26" i="4" s="1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J26" i="4"/>
  <c r="B34" i="4"/>
  <c r="C34" i="4"/>
  <c r="D34" i="4"/>
  <c r="E34" i="4"/>
  <c r="F34" i="4"/>
  <c r="G34" i="4"/>
  <c r="H34" i="4"/>
  <c r="D31" i="4" s="1"/>
  <c r="F31" i="4" s="1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J31" i="4"/>
  <c r="B39" i="4"/>
  <c r="C39" i="4"/>
  <c r="D39" i="4"/>
  <c r="E39" i="4"/>
  <c r="F39" i="4"/>
  <c r="G39" i="4"/>
  <c r="H39" i="4"/>
  <c r="D36" i="4" s="1"/>
  <c r="F36" i="4" s="1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J36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J41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J46" i="4"/>
  <c r="B54" i="4"/>
  <c r="C54" i="4"/>
  <c r="D54" i="4"/>
  <c r="E54" i="4"/>
  <c r="F54" i="4"/>
  <c r="G54" i="4"/>
  <c r="D51" i="4" s="1"/>
  <c r="F51" i="4" s="1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J5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J56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J61" i="4"/>
  <c r="B70" i="4"/>
  <c r="C70" i="4"/>
  <c r="D70" i="4"/>
  <c r="E70" i="4"/>
  <c r="F70" i="4"/>
  <c r="G70" i="4"/>
  <c r="H70" i="4"/>
  <c r="D67" i="4" s="1"/>
  <c r="F67" i="4" s="1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J67" i="4"/>
  <c r="B75" i="4"/>
  <c r="C75" i="4"/>
  <c r="D75" i="4"/>
  <c r="E75" i="4"/>
  <c r="F75" i="4"/>
  <c r="G75" i="4"/>
  <c r="H75" i="4"/>
  <c r="D72" i="4" s="1"/>
  <c r="F72" i="4" s="1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J72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J77" i="4"/>
  <c r="C84" i="4"/>
  <c r="B84" i="4"/>
  <c r="D84" i="4"/>
  <c r="C85" i="4" s="1"/>
  <c r="E84" i="4"/>
  <c r="F84" i="4"/>
  <c r="G84" i="4"/>
  <c r="H84" i="4"/>
  <c r="G85" i="4" s="1"/>
  <c r="I84" i="4"/>
  <c r="I85" i="4" s="1"/>
  <c r="J84" i="4"/>
  <c r="K84" i="4"/>
  <c r="L84" i="4"/>
  <c r="M84" i="4"/>
  <c r="N84" i="4"/>
  <c r="O84" i="4"/>
  <c r="P84" i="4"/>
  <c r="P85" i="4" s="1"/>
  <c r="Q84" i="4"/>
  <c r="Q85" i="4" s="1"/>
  <c r="R84" i="4"/>
  <c r="S84" i="4"/>
  <c r="T84" i="4"/>
  <c r="U84" i="4"/>
  <c r="V84" i="4"/>
  <c r="W84" i="4"/>
  <c r="V85" i="4" s="1"/>
  <c r="X84" i="4"/>
  <c r="X85" i="4" s="1"/>
  <c r="H82" i="4"/>
  <c r="J82" i="4" s="1"/>
  <c r="L82" i="4"/>
  <c r="C89" i="4"/>
  <c r="B89" i="4"/>
  <c r="D89" i="4"/>
  <c r="E89" i="4"/>
  <c r="F89" i="4"/>
  <c r="G89" i="4"/>
  <c r="G90" i="4" s="1"/>
  <c r="H89" i="4"/>
  <c r="I89" i="4"/>
  <c r="J89" i="4"/>
  <c r="K89" i="4"/>
  <c r="L89" i="4"/>
  <c r="M89" i="4"/>
  <c r="N89" i="4"/>
  <c r="O89" i="4"/>
  <c r="O90" i="4" s="1"/>
  <c r="P89" i="4"/>
  <c r="Q89" i="4"/>
  <c r="R89" i="4"/>
  <c r="S89" i="4"/>
  <c r="T89" i="4"/>
  <c r="U89" i="4"/>
  <c r="V89" i="4"/>
  <c r="W89" i="4"/>
  <c r="V90" i="4" s="1"/>
  <c r="X89" i="4"/>
  <c r="H87" i="4"/>
  <c r="J87" i="4" s="1"/>
  <c r="L87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T110" i="4"/>
  <c r="S111" i="4" s="1"/>
  <c r="J108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T120" i="4"/>
  <c r="S121" i="4" s="1"/>
  <c r="J118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J138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J143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J148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J153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J163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J168" i="4"/>
  <c r="B176" i="4"/>
  <c r="C176" i="4"/>
  <c r="D176" i="4"/>
  <c r="E176" i="4"/>
  <c r="F176" i="4"/>
  <c r="D173" i="4" s="1"/>
  <c r="F173" i="4" s="1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J173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J178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T185" i="4"/>
  <c r="U185" i="4" s="1"/>
  <c r="X184" i="4"/>
  <c r="L183" i="4"/>
  <c r="J183" i="4" s="1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J213" i="4"/>
  <c r="B256" i="4"/>
  <c r="D253" i="4" s="1"/>
  <c r="F253" i="4" s="1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J253" i="4"/>
  <c r="B261" i="4"/>
  <c r="C261" i="4"/>
  <c r="D258" i="4" s="1"/>
  <c r="F258" i="4" s="1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J258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J264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J269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J274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J279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J284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J289" i="4"/>
  <c r="B297" i="4"/>
  <c r="D294" i="4" s="1"/>
  <c r="F294" i="4" s="1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J294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J299" i="4"/>
  <c r="A306" i="4"/>
  <c r="B26" i="4"/>
  <c r="N26" i="4"/>
  <c r="B31" i="4"/>
  <c r="N31" i="4"/>
  <c r="B36" i="4"/>
  <c r="N36" i="4"/>
  <c r="B41" i="4"/>
  <c r="N41" i="4"/>
  <c r="B46" i="4"/>
  <c r="N46" i="4"/>
  <c r="B51" i="4"/>
  <c r="N51" i="4"/>
  <c r="B56" i="4"/>
  <c r="N56" i="4"/>
  <c r="B61" i="4"/>
  <c r="N61" i="4"/>
  <c r="B67" i="4"/>
  <c r="B72" i="4"/>
  <c r="B77" i="4"/>
  <c r="B82" i="4"/>
  <c r="B87" i="4"/>
  <c r="B108" i="4"/>
  <c r="B118" i="4"/>
  <c r="B138" i="4"/>
  <c r="B143" i="4"/>
  <c r="B148" i="4"/>
  <c r="B153" i="4"/>
  <c r="B158" i="4"/>
  <c r="B163" i="4"/>
  <c r="B168" i="4"/>
  <c r="B173" i="4"/>
  <c r="B178" i="4"/>
  <c r="B183" i="4"/>
  <c r="B213" i="4"/>
  <c r="B253" i="4"/>
  <c r="B258" i="4"/>
  <c r="B264" i="4"/>
  <c r="B269" i="4"/>
  <c r="B274" i="4"/>
  <c r="B279" i="4"/>
  <c r="B284" i="4"/>
  <c r="B289" i="4"/>
  <c r="B294" i="4"/>
  <c r="B299" i="4"/>
  <c r="E116" i="7"/>
  <c r="F94" i="7"/>
  <c r="F85" i="7"/>
  <c r="H118" i="7"/>
  <c r="H111" i="7"/>
  <c r="E102" i="7"/>
  <c r="E103" i="7"/>
  <c r="E104" i="7"/>
  <c r="E100" i="7"/>
  <c r="H105" i="7"/>
  <c r="J105" i="7"/>
  <c r="J101" i="7"/>
  <c r="J97" i="7"/>
  <c r="F97" i="7"/>
  <c r="J88" i="7"/>
  <c r="J84" i="7"/>
  <c r="F90" i="7"/>
  <c r="F82" i="7"/>
  <c r="D85" i="7"/>
  <c r="D83" i="7"/>
  <c r="D81" i="7"/>
  <c r="D80" i="7"/>
  <c r="B19" i="6"/>
  <c r="F311" i="4"/>
  <c r="F310" i="4"/>
  <c r="C21" i="5"/>
  <c r="C20" i="5"/>
  <c r="C26" i="5"/>
  <c r="C22" i="5"/>
  <c r="C17" i="5"/>
  <c r="C19" i="5"/>
  <c r="C16" i="5"/>
  <c r="C15" i="5"/>
  <c r="L2" i="6"/>
  <c r="C307" i="4"/>
  <c r="F307" i="4"/>
  <c r="R307" i="4"/>
  <c r="C308" i="4"/>
  <c r="F308" i="4"/>
  <c r="R308" i="4"/>
  <c r="C309" i="4"/>
  <c r="F309" i="4"/>
  <c r="C310" i="4"/>
  <c r="C311" i="4"/>
  <c r="C312" i="4"/>
  <c r="C313" i="4"/>
  <c r="C314" i="4"/>
  <c r="B146" i="2"/>
  <c r="B35" i="1"/>
  <c r="B36" i="6"/>
  <c r="B15" i="8"/>
  <c r="B76" i="2"/>
  <c r="B11" i="8"/>
  <c r="B107" i="1"/>
  <c r="F42" i="5"/>
  <c r="B71" i="8"/>
  <c r="B78" i="8"/>
  <c r="B79" i="8" s="1"/>
  <c r="C5" i="8"/>
  <c r="B76" i="8"/>
  <c r="B77" i="8" s="1"/>
  <c r="B74" i="8"/>
  <c r="B73" i="8"/>
  <c r="B10" i="8"/>
  <c r="C4" i="8"/>
  <c r="C16" i="8"/>
  <c r="C14" i="8"/>
  <c r="C12" i="8"/>
  <c r="B12" i="8"/>
  <c r="C9" i="8"/>
  <c r="C8" i="8"/>
  <c r="B8" i="8"/>
  <c r="C7" i="8"/>
  <c r="N36" i="6"/>
  <c r="C50" i="5"/>
  <c r="C52" i="5"/>
  <c r="T18" i="6"/>
  <c r="S17" i="6"/>
  <c r="S19" i="6"/>
  <c r="S18" i="6"/>
  <c r="S13" i="6"/>
  <c r="S14" i="6"/>
  <c r="S12" i="6"/>
  <c r="T16" i="6"/>
  <c r="T11" i="6"/>
  <c r="L38" i="6"/>
  <c r="B93" i="1"/>
  <c r="B79" i="2"/>
  <c r="H64" i="7"/>
  <c r="H63" i="7" s="1"/>
  <c r="E59" i="7"/>
  <c r="E55" i="7"/>
  <c r="H52" i="7"/>
  <c r="E45" i="7"/>
  <c r="D45" i="7"/>
  <c r="E44" i="7"/>
  <c r="D44" i="7"/>
  <c r="E46" i="7"/>
  <c r="D46" i="7"/>
  <c r="E43" i="7"/>
  <c r="D43" i="7"/>
  <c r="E41" i="7"/>
  <c r="E50" i="7"/>
  <c r="E48" i="7"/>
  <c r="E47" i="7"/>
  <c r="H50" i="7"/>
  <c r="E51" i="7"/>
  <c r="C31" i="7"/>
  <c r="C5" i="5"/>
  <c r="C6" i="5"/>
  <c r="C7" i="5"/>
  <c r="C8" i="5"/>
  <c r="C10" i="5"/>
  <c r="C11" i="5"/>
  <c r="C12" i="5"/>
  <c r="C13" i="5"/>
  <c r="C23" i="5"/>
  <c r="C25" i="5"/>
  <c r="C28" i="5"/>
  <c r="C33" i="5"/>
  <c r="F34" i="5"/>
  <c r="F35" i="5"/>
  <c r="F36" i="5"/>
  <c r="F37" i="5"/>
  <c r="F38" i="5"/>
  <c r="F39" i="5"/>
  <c r="F40" i="5"/>
  <c r="C51" i="5"/>
  <c r="A1" i="4"/>
  <c r="A3" i="4"/>
  <c r="A4" i="4"/>
  <c r="B77" i="2"/>
  <c r="B78" i="2"/>
  <c r="B131" i="2"/>
  <c r="B133" i="2"/>
  <c r="B134" i="2"/>
  <c r="B135" i="2"/>
  <c r="B137" i="2"/>
  <c r="B138" i="2"/>
  <c r="B140" i="2"/>
  <c r="B141" i="2"/>
  <c r="B144" i="2"/>
  <c r="C4" i="1"/>
  <c r="C6" i="1"/>
  <c r="C7" i="1"/>
  <c r="C23" i="1" s="1"/>
  <c r="B8" i="1"/>
  <c r="C8" i="1"/>
  <c r="C9" i="1"/>
  <c r="B10" i="1"/>
  <c r="B11" i="1"/>
  <c r="C11" i="1"/>
  <c r="C13" i="1"/>
  <c r="C17" i="1"/>
  <c r="B18" i="1"/>
  <c r="B19" i="1"/>
  <c r="C22" i="1"/>
  <c r="G22" i="1"/>
  <c r="H22" i="1"/>
  <c r="J22" i="1"/>
  <c r="K22" i="1"/>
  <c r="F23" i="1"/>
  <c r="B24" i="1"/>
  <c r="F24" i="1"/>
  <c r="B26" i="1"/>
  <c r="F25" i="1"/>
  <c r="H25" i="1"/>
  <c r="F27" i="1"/>
  <c r="B29" i="1"/>
  <c r="F28" i="1"/>
  <c r="B30" i="1"/>
  <c r="B31" i="1"/>
  <c r="H31" i="1"/>
  <c r="B32" i="1"/>
  <c r="F32" i="1"/>
  <c r="B33" i="1"/>
  <c r="F33" i="1"/>
  <c r="F34" i="1"/>
  <c r="A38" i="1"/>
  <c r="F38" i="1"/>
  <c r="H38" i="1"/>
  <c r="J38" i="1"/>
  <c r="K38" i="1"/>
  <c r="F40" i="1"/>
  <c r="M40" i="1"/>
  <c r="F41" i="1"/>
  <c r="B42" i="1"/>
  <c r="F42" i="1"/>
  <c r="F43" i="1"/>
  <c r="B44" i="1"/>
  <c r="F45" i="1"/>
  <c r="F46" i="1"/>
  <c r="F47" i="1"/>
  <c r="L47" i="1"/>
  <c r="F48" i="1"/>
  <c r="H48" i="1"/>
  <c r="F49" i="1"/>
  <c r="I49" i="1"/>
  <c r="L49" i="1"/>
  <c r="M49" i="1"/>
  <c r="B102" i="1"/>
  <c r="B109" i="1"/>
  <c r="B110" i="1"/>
  <c r="B111" i="1"/>
  <c r="B112" i="1"/>
  <c r="B113" i="1"/>
  <c r="B117" i="1"/>
  <c r="C140" i="1"/>
  <c r="C142" i="1"/>
  <c r="C144" i="1"/>
  <c r="B148" i="1"/>
  <c r="C4" i="6"/>
  <c r="C6" i="6"/>
  <c r="L6" i="6"/>
  <c r="C7" i="6"/>
  <c r="L7" i="6"/>
  <c r="B8" i="6"/>
  <c r="L8" i="6"/>
  <c r="L9" i="6"/>
  <c r="B11" i="6"/>
  <c r="M11" i="6"/>
  <c r="N11" i="6"/>
  <c r="P11" i="6"/>
  <c r="B12" i="6"/>
  <c r="L12" i="6"/>
  <c r="B13" i="6"/>
  <c r="L13" i="6"/>
  <c r="B14" i="6"/>
  <c r="L14" i="6"/>
  <c r="L15" i="6"/>
  <c r="C16" i="6"/>
  <c r="B18" i="6"/>
  <c r="L18" i="6"/>
  <c r="L19" i="6"/>
  <c r="C20" i="6"/>
  <c r="L20" i="6"/>
  <c r="B21" i="6"/>
  <c r="L21" i="6"/>
  <c r="B22" i="6"/>
  <c r="L22" i="6"/>
  <c r="B23" i="6"/>
  <c r="D25" i="6"/>
  <c r="F26" i="6"/>
  <c r="H26" i="6"/>
  <c r="E27" i="6"/>
  <c r="F28" i="6"/>
  <c r="F29" i="6"/>
  <c r="F30" i="6"/>
  <c r="E31" i="6"/>
  <c r="E32" i="6"/>
  <c r="D35" i="6"/>
  <c r="B91" i="6"/>
  <c r="B96" i="6"/>
  <c r="B103" i="6"/>
  <c r="B104" i="6"/>
  <c r="B105" i="6"/>
  <c r="B107" i="6"/>
  <c r="B108" i="6"/>
  <c r="B109" i="6"/>
  <c r="B114" i="6"/>
  <c r="B115" i="6"/>
  <c r="B117" i="6"/>
  <c r="B118" i="6"/>
  <c r="B119" i="6"/>
  <c r="B121" i="6"/>
  <c r="C124" i="6"/>
  <c r="E124" i="6"/>
  <c r="C125" i="6"/>
  <c r="C126" i="6" s="1"/>
  <c r="C127" i="6" s="1"/>
  <c r="D125" i="6"/>
  <c r="E125" i="6" s="1"/>
  <c r="C130" i="6"/>
  <c r="C131" i="6"/>
  <c r="E131" i="6"/>
  <c r="B137" i="6"/>
  <c r="B140" i="6"/>
  <c r="B143" i="6"/>
  <c r="B146" i="6"/>
  <c r="B155" i="6"/>
  <c r="E175" i="6"/>
  <c r="C176" i="6"/>
  <c r="F176" i="6"/>
  <c r="G176" i="6"/>
  <c r="H176" i="6"/>
  <c r="C177" i="6"/>
  <c r="F177" i="6"/>
  <c r="G177" i="6"/>
  <c r="H177" i="6"/>
  <c r="C178" i="6"/>
  <c r="F178" i="6"/>
  <c r="G178" i="6"/>
  <c r="H178" i="6"/>
  <c r="C179" i="6"/>
  <c r="F179" i="6"/>
  <c r="G179" i="6"/>
  <c r="H179" i="6"/>
  <c r="C180" i="6"/>
  <c r="D180" i="6"/>
  <c r="E180" i="6" s="1"/>
  <c r="F180" i="6"/>
  <c r="G180" i="6"/>
  <c r="H180" i="6"/>
  <c r="U120" i="4"/>
  <c r="V120" i="4" s="1"/>
  <c r="W120" i="4" s="1"/>
  <c r="X120" i="4" s="1"/>
  <c r="U110" i="4"/>
  <c r="V110" i="4" s="1"/>
  <c r="U85" i="4"/>
  <c r="S85" i="4"/>
  <c r="M85" i="4"/>
  <c r="K85" i="4"/>
  <c r="R211" i="4"/>
  <c r="D223" i="4"/>
  <c r="F223" i="4" s="1"/>
  <c r="V115" i="4"/>
  <c r="U116" i="4" s="1"/>
  <c r="U90" i="4"/>
  <c r="S90" i="4"/>
  <c r="M90" i="4"/>
  <c r="K90" i="4"/>
  <c r="E90" i="4"/>
  <c r="T209" i="4"/>
  <c r="U209" i="4" s="1"/>
  <c r="V209" i="4"/>
  <c r="W209" i="4"/>
  <c r="D213" i="4"/>
  <c r="F213" i="4" s="1"/>
  <c r="E85" i="4"/>
  <c r="N85" i="4"/>
  <c r="J85" i="4"/>
  <c r="F85" i="4"/>
  <c r="B85" i="4"/>
  <c r="X90" i="4"/>
  <c r="T90" i="4"/>
  <c r="R90" i="4"/>
  <c r="P90" i="4"/>
  <c r="L90" i="4"/>
  <c r="J90" i="4"/>
  <c r="D77" i="4"/>
  <c r="F77" i="4" s="1"/>
  <c r="D56" i="4"/>
  <c r="F56" i="4" s="1"/>
  <c r="D46" i="4"/>
  <c r="F46" i="4" s="1"/>
  <c r="D41" i="4"/>
  <c r="F41" i="4" s="1"/>
  <c r="U160" i="4"/>
  <c r="T161" i="4" s="1"/>
  <c r="R196" i="4"/>
  <c r="K191" i="4"/>
  <c r="T206" i="4"/>
  <c r="B189" i="6"/>
  <c r="S221" i="4"/>
  <c r="N189" i="4"/>
  <c r="O189" i="4" s="1"/>
  <c r="L191" i="4"/>
  <c r="S246" i="4"/>
  <c r="L241" i="4"/>
  <c r="K241" i="4"/>
  <c r="R246" i="4"/>
  <c r="W115" i="4"/>
  <c r="V116" i="4" s="1"/>
  <c r="U206" i="4"/>
  <c r="M241" i="4"/>
  <c r="V245" i="4"/>
  <c r="W245" i="4" s="1"/>
  <c r="T246" i="4"/>
  <c r="V206" i="4"/>
  <c r="N241" i="4"/>
  <c r="X240" i="4"/>
  <c r="W206" i="4"/>
  <c r="X206" i="4"/>
  <c r="O241" i="4"/>
  <c r="P241" i="4"/>
  <c r="Q241" i="4"/>
  <c r="R241" i="4"/>
  <c r="S241" i="4"/>
  <c r="T241" i="4"/>
  <c r="U241" i="4"/>
  <c r="X239" i="4"/>
  <c r="V241" i="4"/>
  <c r="C197" i="6"/>
  <c r="B197" i="6" s="1"/>
  <c r="W130" i="4"/>
  <c r="U125" i="4"/>
  <c r="V125" i="4" s="1"/>
  <c r="W125" i="4" s="1"/>
  <c r="V126" i="4" s="1"/>
  <c r="V131" i="4"/>
  <c r="X130" i="4"/>
  <c r="X131" i="4" s="1"/>
  <c r="C198" i="6"/>
  <c r="B75" i="8"/>
  <c r="E29" i="1"/>
  <c r="I71" i="7"/>
  <c r="H4" i="3"/>
  <c r="S186" i="4"/>
  <c r="B186" i="6"/>
  <c r="L4" i="3"/>
  <c r="B202" i="6"/>
  <c r="G4" i="3"/>
  <c r="S201" i="4"/>
  <c r="R201" i="4"/>
  <c r="W110" i="4"/>
  <c r="U111" i="4"/>
  <c r="V220" i="4"/>
  <c r="W220" i="4" s="1"/>
  <c r="T221" i="4"/>
  <c r="V234" i="4"/>
  <c r="W234" i="4" s="1"/>
  <c r="X234" i="4" s="1"/>
  <c r="V185" i="4"/>
  <c r="W185" i="4" s="1"/>
  <c r="X185" i="4" s="1"/>
  <c r="W186" i="4" s="1"/>
  <c r="T186" i="4"/>
  <c r="V190" i="4"/>
  <c r="S231" i="4"/>
  <c r="N191" i="4"/>
  <c r="P189" i="4"/>
  <c r="Q189" i="4" s="1"/>
  <c r="U210" i="4"/>
  <c r="T211" i="4" s="1"/>
  <c r="S211" i="4"/>
  <c r="M191" i="4"/>
  <c r="T111" i="4"/>
  <c r="T201" i="4"/>
  <c r="V210" i="4"/>
  <c r="U211" i="4" s="1"/>
  <c r="U221" i="4"/>
  <c r="X125" i="4"/>
  <c r="W126" i="4" s="1"/>
  <c r="T231" i="4"/>
  <c r="V230" i="4"/>
  <c r="U201" i="4"/>
  <c r="X200" i="4"/>
  <c r="X201" i="4" s="1"/>
  <c r="V201" i="4"/>
  <c r="W201" i="4"/>
  <c r="X100" i="4"/>
  <c r="L105" i="4"/>
  <c r="C105" i="4"/>
  <c r="G105" i="4"/>
  <c r="K105" i="4"/>
  <c r="O105" i="4"/>
  <c r="S100" i="4"/>
  <c r="U100" i="4"/>
  <c r="D92" i="4"/>
  <c r="F92" i="4"/>
  <c r="H100" i="4"/>
  <c r="Q100" i="4"/>
  <c r="Q105" i="4"/>
  <c r="V2" i="4"/>
  <c r="N3" i="4"/>
  <c r="W4" i="4"/>
  <c r="T2" i="4"/>
  <c r="C3" i="4"/>
  <c r="N4" i="4"/>
  <c r="E3" i="4"/>
  <c r="I3" i="4"/>
  <c r="C4" i="4"/>
  <c r="H4" i="4"/>
  <c r="O4" i="4"/>
  <c r="G4" i="4"/>
  <c r="B3" i="4"/>
  <c r="H3" i="4"/>
  <c r="U4" i="4"/>
  <c r="J2" i="4"/>
  <c r="F4" i="4"/>
  <c r="S3" i="4"/>
  <c r="O3" i="4"/>
  <c r="J4" i="4"/>
  <c r="L2" i="4"/>
  <c r="D3" i="4"/>
  <c r="V3" i="4"/>
  <c r="E4" i="4"/>
  <c r="X3" i="4"/>
  <c r="R3" i="4"/>
  <c r="B4" i="4"/>
  <c r="P3" i="4"/>
  <c r="L4" i="4"/>
  <c r="U3" i="4"/>
  <c r="Y3" i="4"/>
  <c r="G3" i="4"/>
  <c r="N2" i="4"/>
  <c r="K4" i="4"/>
  <c r="X2" i="4"/>
  <c r="W3" i="4"/>
  <c r="Q4" i="4"/>
  <c r="Y4" i="4"/>
  <c r="X4" i="4"/>
  <c r="Q3" i="4"/>
  <c r="F3" i="4"/>
  <c r="S4" i="4"/>
  <c r="T3" i="4"/>
  <c r="P4" i="4"/>
  <c r="M4" i="4"/>
  <c r="P2" i="4"/>
  <c r="B108" i="1" l="1"/>
  <c r="H17" i="7"/>
  <c r="B131" i="1"/>
  <c r="B106" i="1"/>
  <c r="H27" i="1"/>
  <c r="AE4" i="3"/>
  <c r="U195" i="4"/>
  <c r="T196" i="4" s="1"/>
  <c r="S196" i="4"/>
  <c r="X250" i="4"/>
  <c r="W251" i="4" s="1"/>
  <c r="V251" i="4"/>
  <c r="D128" i="4"/>
  <c r="D299" i="4"/>
  <c r="F299" i="4" s="1"/>
  <c r="D274" i="4"/>
  <c r="F274" i="4" s="1"/>
  <c r="E100" i="4"/>
  <c r="R100" i="4"/>
  <c r="H105" i="4"/>
  <c r="D102" i="4" s="1"/>
  <c r="F102" i="4" s="1"/>
  <c r="V105" i="4"/>
  <c r="D289" i="4"/>
  <c r="F289" i="4" s="1"/>
  <c r="D284" i="4"/>
  <c r="F284" i="4" s="1"/>
  <c r="D279" i="4"/>
  <c r="F279" i="4" s="1"/>
  <c r="D269" i="4"/>
  <c r="F269" i="4" s="1"/>
  <c r="D264" i="4"/>
  <c r="F264" i="4" s="1"/>
  <c r="D163" i="4"/>
  <c r="F163" i="4" s="1"/>
  <c r="D138" i="4"/>
  <c r="F138" i="4" s="1"/>
  <c r="O191" i="4"/>
  <c r="H85" i="4"/>
  <c r="O85" i="4"/>
  <c r="R231" i="4"/>
  <c r="J97" i="4"/>
  <c r="T100" i="4"/>
  <c r="I105" i="4"/>
  <c r="W105" i="4"/>
  <c r="X105" i="4"/>
  <c r="X115" i="4"/>
  <c r="I100" i="4"/>
  <c r="N100" i="4"/>
  <c r="D105" i="4"/>
  <c r="J105" i="4"/>
  <c r="R105" i="4"/>
  <c r="W210" i="4"/>
  <c r="V211" i="4" s="1"/>
  <c r="D61" i="4"/>
  <c r="F61" i="4" s="1"/>
  <c r="W131" i="4"/>
  <c r="D198" i="4"/>
  <c r="F198" i="4" s="1"/>
  <c r="W85" i="4"/>
  <c r="D148" i="4"/>
  <c r="F148" i="4" s="1"/>
  <c r="B90" i="4"/>
  <c r="R85" i="4"/>
  <c r="D133" i="4"/>
  <c r="F133" i="4" s="1"/>
  <c r="C100" i="4"/>
  <c r="J100" i="4"/>
  <c r="P100" i="4"/>
  <c r="E105" i="4"/>
  <c r="M105" i="4"/>
  <c r="S105" i="4"/>
  <c r="X241" i="4"/>
  <c r="D203" i="4"/>
  <c r="F203" i="4" s="1"/>
  <c r="H90" i="4"/>
  <c r="U251" i="4"/>
  <c r="D248" i="4" s="1"/>
  <c r="A307" i="4" a="1"/>
  <c r="A329" i="4" s="1"/>
  <c r="U121" i="4"/>
  <c r="V186" i="4"/>
  <c r="U186" i="4"/>
  <c r="V160" i="4"/>
  <c r="T121" i="4"/>
  <c r="D100" i="4"/>
  <c r="L100" i="4"/>
  <c r="N105" i="4"/>
  <c r="U105" i="4"/>
  <c r="C196" i="6"/>
  <c r="A335" i="4"/>
  <c r="A323" i="4"/>
  <c r="A316" i="4"/>
  <c r="A321" i="4"/>
  <c r="A327" i="4"/>
  <c r="E183" i="6"/>
  <c r="A319" i="4"/>
  <c r="A310" i="4"/>
  <c r="E192" i="6"/>
  <c r="A320" i="4"/>
  <c r="A308" i="4"/>
  <c r="A313" i="4"/>
  <c r="A331" i="4"/>
  <c r="A307" i="4"/>
  <c r="C182" i="6"/>
  <c r="E193" i="6"/>
  <c r="B201" i="6"/>
  <c r="C201" i="6" s="1"/>
  <c r="A333" i="4"/>
  <c r="A330" i="4"/>
  <c r="A309" i="4"/>
  <c r="E188" i="6"/>
  <c r="E191" i="6"/>
  <c r="A315" i="4"/>
  <c r="C195" i="6"/>
  <c r="E189" i="6"/>
  <c r="D30" i="1"/>
  <c r="E24" i="1"/>
  <c r="H67" i="7"/>
  <c r="B157" i="1"/>
  <c r="E8" i="7"/>
  <c r="H69" i="7"/>
  <c r="E127" i="7"/>
  <c r="D25" i="7"/>
  <c r="C173" i="6"/>
  <c r="T14" i="6"/>
  <c r="O24" i="6"/>
  <c r="O23" i="6"/>
  <c r="D179" i="6"/>
  <c r="E179" i="6" s="1"/>
  <c r="T17" i="6"/>
  <c r="C144" i="6"/>
  <c r="C147" i="6"/>
  <c r="C143" i="6"/>
  <c r="C141" i="6"/>
  <c r="E33" i="6"/>
  <c r="C138" i="6"/>
  <c r="C132" i="6"/>
  <c r="C133" i="6"/>
  <c r="C136" i="6"/>
  <c r="C137" i="6"/>
  <c r="C134" i="6"/>
  <c r="C145" i="6"/>
  <c r="C139" i="6"/>
  <c r="C135" i="6"/>
  <c r="T19" i="6"/>
  <c r="C148" i="6"/>
  <c r="M20" i="6"/>
  <c r="C142" i="6"/>
  <c r="C146" i="6"/>
  <c r="C140" i="6"/>
  <c r="E42" i="7"/>
  <c r="J90" i="7"/>
  <c r="F118" i="7" s="1"/>
  <c r="D177" i="6"/>
  <c r="E177" i="6" s="1"/>
  <c r="D178" i="6"/>
  <c r="E178" i="6" s="1"/>
  <c r="D176" i="6"/>
  <c r="E176" i="6" s="1"/>
  <c r="B67" i="8"/>
  <c r="C67" i="8" s="1"/>
  <c r="B56" i="8"/>
  <c r="C56" i="8" s="1"/>
  <c r="B58" i="8"/>
  <c r="C58" i="8" s="1"/>
  <c r="B60" i="8"/>
  <c r="C60" i="8" s="1"/>
  <c r="O21" i="6"/>
  <c r="B66" i="8"/>
  <c r="C66" i="8" s="1"/>
  <c r="B63" i="8"/>
  <c r="C63" i="8" s="1"/>
  <c r="B59" i="8"/>
  <c r="C59" i="8" s="1"/>
  <c r="B65" i="8"/>
  <c r="C65" i="8" s="1"/>
  <c r="B64" i="8"/>
  <c r="C64" i="8" s="1"/>
  <c r="C15" i="8"/>
  <c r="B57" i="8"/>
  <c r="C57" i="8" s="1"/>
  <c r="C14" i="1"/>
  <c r="B61" i="8"/>
  <c r="C61" i="8" s="1"/>
  <c r="O18" i="6"/>
  <c r="B52" i="8"/>
  <c r="C52" i="8" s="1"/>
  <c r="D26" i="7"/>
  <c r="E40" i="7"/>
  <c r="B54" i="8"/>
  <c r="C54" i="8" s="1"/>
  <c r="B62" i="8"/>
  <c r="C62" i="8" s="1"/>
  <c r="B55" i="8"/>
  <c r="C55" i="8" s="1"/>
  <c r="B51" i="8"/>
  <c r="C51" i="8" s="1"/>
  <c r="B53" i="8"/>
  <c r="C53" i="8" s="1"/>
  <c r="H27" i="6"/>
  <c r="H12" i="7" s="1"/>
  <c r="B50" i="8"/>
  <c r="C50" i="8" s="1"/>
  <c r="D126" i="6"/>
  <c r="E182" i="6"/>
  <c r="E186" i="6"/>
  <c r="B196" i="6"/>
  <c r="E185" i="6"/>
  <c r="E14" i="7"/>
  <c r="B199" i="6"/>
  <c r="B200" i="6"/>
  <c r="C200" i="6" s="1"/>
  <c r="C210" i="6"/>
  <c r="C207" i="6"/>
  <c r="C208" i="6"/>
  <c r="C205" i="6"/>
  <c r="C209" i="6"/>
  <c r="C206" i="6"/>
  <c r="B48" i="8"/>
  <c r="C48" i="8" s="1"/>
  <c r="B46" i="8"/>
  <c r="C46" i="8" s="1"/>
  <c r="B49" i="8"/>
  <c r="C49" i="8" s="1"/>
  <c r="D174" i="6"/>
  <c r="B45" i="8"/>
  <c r="C45" i="8" s="1"/>
  <c r="B42" i="8"/>
  <c r="C42" i="8" s="1"/>
  <c r="B41" i="8"/>
  <c r="C41" i="8" s="1"/>
  <c r="B43" i="8"/>
  <c r="C43" i="8" s="1"/>
  <c r="D172" i="6"/>
  <c r="B44" i="8"/>
  <c r="C44" i="8" s="1"/>
  <c r="B47" i="8"/>
  <c r="C47" i="8" s="1"/>
  <c r="D170" i="6"/>
  <c r="D171" i="6"/>
  <c r="D173" i="6"/>
  <c r="N13" i="6"/>
  <c r="A5" i="3"/>
  <c r="B5" i="3" s="1"/>
  <c r="M13" i="6"/>
  <c r="N12" i="6"/>
  <c r="R189" i="4"/>
  <c r="P191" i="4"/>
  <c r="X186" i="4"/>
  <c r="D183" i="4" s="1"/>
  <c r="F183" i="4" s="1"/>
  <c r="W190" i="4"/>
  <c r="V246" i="4"/>
  <c r="X245" i="4"/>
  <c r="W230" i="4"/>
  <c r="U231" i="4"/>
  <c r="X220" i="4"/>
  <c r="V221" i="4"/>
  <c r="X126" i="4"/>
  <c r="X110" i="4"/>
  <c r="V111" i="4"/>
  <c r="U126" i="4"/>
  <c r="V121" i="4"/>
  <c r="X210" i="4"/>
  <c r="W121" i="4"/>
  <c r="X121" i="4"/>
  <c r="V195" i="4"/>
  <c r="T126" i="4"/>
  <c r="W241" i="4"/>
  <c r="D238" i="4" s="1"/>
  <c r="F238" i="4" s="1"/>
  <c r="N90" i="4"/>
  <c r="AC4" i="3"/>
  <c r="U246" i="4"/>
  <c r="W90" i="4"/>
  <c r="X251" i="4"/>
  <c r="T235" i="4"/>
  <c r="R236" i="4"/>
  <c r="F90" i="4"/>
  <c r="C90" i="4"/>
  <c r="D90" i="4"/>
  <c r="T85" i="4"/>
  <c r="L85" i="4"/>
  <c r="D85" i="4"/>
  <c r="D178" i="4"/>
  <c r="F178" i="4" s="1"/>
  <c r="D168" i="4"/>
  <c r="F168" i="4" s="1"/>
  <c r="D153" i="4"/>
  <c r="F153" i="4" s="1"/>
  <c r="D143" i="4"/>
  <c r="F143" i="4" s="1"/>
  <c r="Q90" i="4"/>
  <c r="I90" i="4"/>
  <c r="A328" i="4"/>
  <c r="A332" i="4"/>
  <c r="A322" i="4"/>
  <c r="W160" i="4"/>
  <c r="U161" i="4"/>
  <c r="B187" i="6"/>
  <c r="B100" i="4"/>
  <c r="F100" i="4"/>
  <c r="W100" i="4"/>
  <c r="H46" i="1"/>
  <c r="E187" i="6"/>
  <c r="Z2" i="4"/>
  <c r="M3" i="4"/>
  <c r="D4" i="4"/>
  <c r="J3" i="4"/>
  <c r="L3" i="4"/>
  <c r="D2" i="4"/>
  <c r="R2" i="4"/>
  <c r="K3" i="4"/>
  <c r="H2" i="4"/>
  <c r="I4" i="4"/>
  <c r="R4" i="4"/>
  <c r="T4" i="4"/>
  <c r="V4" i="4"/>
  <c r="P14" i="6" l="1"/>
  <c r="D48" i="8" s="1"/>
  <c r="H18" i="7"/>
  <c r="F107" i="1"/>
  <c r="F106" i="1"/>
  <c r="F105" i="1"/>
  <c r="F103" i="1"/>
  <c r="F104" i="1"/>
  <c r="A312" i="4"/>
  <c r="A311" i="4"/>
  <c r="A317" i="4"/>
  <c r="A336" i="4"/>
  <c r="D97" i="4"/>
  <c r="F97" i="4" s="1"/>
  <c r="D82" i="4"/>
  <c r="A324" i="4"/>
  <c r="A325" i="4"/>
  <c r="A314" i="4"/>
  <c r="A326" i="4"/>
  <c r="A334" i="4"/>
  <c r="A318" i="4"/>
  <c r="W116" i="4"/>
  <c r="X116" i="4"/>
  <c r="D87" i="4"/>
  <c r="F87" i="4" s="1"/>
  <c r="I68" i="7"/>
  <c r="R27" i="1"/>
  <c r="K49" i="1"/>
  <c r="I16" i="7"/>
  <c r="D156" i="6"/>
  <c r="D162" i="6"/>
  <c r="E162" i="6" s="1"/>
  <c r="D160" i="6"/>
  <c r="E160" i="6" s="1"/>
  <c r="D159" i="6"/>
  <c r="E159" i="6" s="1"/>
  <c r="D161" i="6"/>
  <c r="E161" i="6" s="1"/>
  <c r="D158" i="6"/>
  <c r="E158" i="6" s="1"/>
  <c r="C166" i="6"/>
  <c r="C167" i="6"/>
  <c r="C163" i="6"/>
  <c r="S27" i="6"/>
  <c r="H45" i="7"/>
  <c r="D168" i="6"/>
  <c r="D169" i="6" s="1"/>
  <c r="E52" i="7"/>
  <c r="E56" i="7"/>
  <c r="E30" i="6"/>
  <c r="D141" i="6"/>
  <c r="D145" i="6"/>
  <c r="O20" i="6"/>
  <c r="D144" i="6"/>
  <c r="D137" i="6"/>
  <c r="D142" i="6"/>
  <c r="E53" i="7"/>
  <c r="D147" i="6"/>
  <c r="D146" i="6"/>
  <c r="D155" i="6"/>
  <c r="D148" i="6"/>
  <c r="D143" i="6"/>
  <c r="E34" i="6"/>
  <c r="D139" i="6"/>
  <c r="D157" i="6"/>
  <c r="D135" i="6"/>
  <c r="E135" i="6" s="1"/>
  <c r="W4" i="3"/>
  <c r="H51" i="7"/>
  <c r="D140" i="6"/>
  <c r="C168" i="6"/>
  <c r="C169" i="6" s="1"/>
  <c r="D136" i="6"/>
  <c r="E136" i="6" s="1"/>
  <c r="D134" i="6"/>
  <c r="E134" i="6" s="1"/>
  <c r="D132" i="6"/>
  <c r="E132" i="6" s="1"/>
  <c r="E57" i="7"/>
  <c r="D138" i="6"/>
  <c r="D133" i="6"/>
  <c r="E133" i="6" s="1"/>
  <c r="E126" i="6"/>
  <c r="D127" i="6"/>
  <c r="E18" i="7"/>
  <c r="C171" i="6"/>
  <c r="T12" i="6"/>
  <c r="C174" i="6"/>
  <c r="E101" i="7"/>
  <c r="E49" i="7"/>
  <c r="T13" i="6"/>
  <c r="C170" i="6"/>
  <c r="D46" i="8"/>
  <c r="D45" i="8"/>
  <c r="D55" i="8"/>
  <c r="D58" i="8"/>
  <c r="D50" i="8"/>
  <c r="D65" i="8"/>
  <c r="M14" i="6"/>
  <c r="D57" i="8"/>
  <c r="D51" i="8"/>
  <c r="D41" i="8"/>
  <c r="D66" i="8"/>
  <c r="D59" i="8"/>
  <c r="D67" i="8"/>
  <c r="D61" i="8"/>
  <c r="D47" i="8"/>
  <c r="D60" i="8"/>
  <c r="D42" i="8"/>
  <c r="D56" i="8"/>
  <c r="D44" i="8"/>
  <c r="D62" i="8"/>
  <c r="D52" i="8"/>
  <c r="D64" i="8"/>
  <c r="D63" i="8"/>
  <c r="D53" i="8"/>
  <c r="M12" i="6"/>
  <c r="F82" i="4"/>
  <c r="D118" i="4"/>
  <c r="F118" i="4" s="1"/>
  <c r="X190" i="4"/>
  <c r="V161" i="4"/>
  <c r="X160" i="4"/>
  <c r="U235" i="4"/>
  <c r="S236" i="4"/>
  <c r="V231" i="4"/>
  <c r="X230" i="4"/>
  <c r="P5" i="3"/>
  <c r="Q5" i="3" s="1"/>
  <c r="AD5" i="3"/>
  <c r="A6" i="3"/>
  <c r="B6" i="3" s="1"/>
  <c r="AA5" i="3"/>
  <c r="AC5" i="3"/>
  <c r="Z5" i="3"/>
  <c r="C204" i="6"/>
  <c r="X221" i="4"/>
  <c r="W221" i="4"/>
  <c r="D218" i="4" s="1"/>
  <c r="F218" i="4" s="1"/>
  <c r="D123" i="4"/>
  <c r="W246" i="4"/>
  <c r="D243" i="4" s="1"/>
  <c r="F243" i="4" s="1"/>
  <c r="X246" i="4"/>
  <c r="X111" i="4"/>
  <c r="W111" i="4"/>
  <c r="D108" i="4" s="1"/>
  <c r="S189" i="4"/>
  <c r="Q191" i="4"/>
  <c r="U196" i="4"/>
  <c r="W195" i="4"/>
  <c r="X211" i="4"/>
  <c r="W211" i="4"/>
  <c r="F2" i="4"/>
  <c r="D54" i="8" l="1"/>
  <c r="F54" i="8" s="1"/>
  <c r="I54" i="8" s="1"/>
  <c r="D43" i="8"/>
  <c r="F43" i="8" s="1"/>
  <c r="I43" i="8" s="1"/>
  <c r="D49" i="8"/>
  <c r="E49" i="8" s="1"/>
  <c r="H41" i="7"/>
  <c r="E107" i="7"/>
  <c r="N14" i="6"/>
  <c r="P15" i="6" s="1"/>
  <c r="E11" i="7"/>
  <c r="H5" i="7"/>
  <c r="C10" i="8"/>
  <c r="D113" i="4"/>
  <c r="F113" i="4" s="1"/>
  <c r="D208" i="4"/>
  <c r="F208" i="4" s="1"/>
  <c r="I28" i="6"/>
  <c r="C191" i="6" s="1"/>
  <c r="D166" i="6"/>
  <c r="E166" i="6" s="1"/>
  <c r="D167" i="6"/>
  <c r="E167" i="6" s="1"/>
  <c r="D164" i="6"/>
  <c r="E164" i="6" s="1"/>
  <c r="D165" i="6"/>
  <c r="E165" i="6" s="1"/>
  <c r="D163" i="6"/>
  <c r="E163" i="6" s="1"/>
  <c r="E29" i="6"/>
  <c r="E28" i="6"/>
  <c r="E127" i="6"/>
  <c r="R5" i="3"/>
  <c r="P6" i="3"/>
  <c r="Q6" i="3" s="1"/>
  <c r="R6" i="3" s="1"/>
  <c r="AA6" i="3"/>
  <c r="A7" i="3"/>
  <c r="B7" i="3" s="1"/>
  <c r="AC6" i="3"/>
  <c r="Z6" i="3"/>
  <c r="AD6" i="3"/>
  <c r="F108" i="4"/>
  <c r="F56" i="8"/>
  <c r="I56" i="8" s="1"/>
  <c r="E56" i="8"/>
  <c r="F66" i="8"/>
  <c r="I66" i="8" s="1"/>
  <c r="E66" i="8"/>
  <c r="F58" i="8"/>
  <c r="I58" i="8" s="1"/>
  <c r="E58" i="8"/>
  <c r="V196" i="4"/>
  <c r="X195" i="4"/>
  <c r="E48" i="8"/>
  <c r="F48" i="8"/>
  <c r="I48" i="8" s="1"/>
  <c r="F53" i="8"/>
  <c r="I53" i="8" s="1"/>
  <c r="E53" i="8"/>
  <c r="F42" i="8"/>
  <c r="I42" i="8" s="1"/>
  <c r="E42" i="8"/>
  <c r="F41" i="8"/>
  <c r="I41" i="8" s="1"/>
  <c r="E41" i="8"/>
  <c r="E55" i="8"/>
  <c r="F55" i="8"/>
  <c r="I55" i="8" s="1"/>
  <c r="F63" i="8"/>
  <c r="I63" i="8" s="1"/>
  <c r="E63" i="8"/>
  <c r="E60" i="8"/>
  <c r="F60" i="8"/>
  <c r="I60" i="8" s="1"/>
  <c r="F51" i="8"/>
  <c r="I51" i="8" s="1"/>
  <c r="E51" i="8"/>
  <c r="F45" i="8"/>
  <c r="I45" i="8" s="1"/>
  <c r="E45" i="8"/>
  <c r="F47" i="8"/>
  <c r="I47" i="8" s="1"/>
  <c r="E47" i="8"/>
  <c r="E54" i="8"/>
  <c r="F52" i="8"/>
  <c r="I52" i="8" s="1"/>
  <c r="E52" i="8"/>
  <c r="F61" i="8"/>
  <c r="I61" i="8" s="1"/>
  <c r="E61" i="8"/>
  <c r="F107" i="7"/>
  <c r="C10" i="1"/>
  <c r="S4" i="3" s="1"/>
  <c r="J41" i="7"/>
  <c r="E58" i="7"/>
  <c r="H65" i="7" s="1"/>
  <c r="C11" i="8"/>
  <c r="F46" i="8"/>
  <c r="I46" i="8" s="1"/>
  <c r="E46" i="8"/>
  <c r="E62" i="8"/>
  <c r="F62" i="8"/>
  <c r="I62" i="8" s="1"/>
  <c r="F67" i="8"/>
  <c r="I67" i="8" s="1"/>
  <c r="E67" i="8"/>
  <c r="F65" i="8"/>
  <c r="I65" i="8" s="1"/>
  <c r="E65" i="8"/>
  <c r="W231" i="4"/>
  <c r="X231" i="4"/>
  <c r="D228" i="4" s="1"/>
  <c r="F228" i="4" s="1"/>
  <c r="X191" i="4"/>
  <c r="F64" i="8"/>
  <c r="I64" i="8" s="1"/>
  <c r="E64" i="8"/>
  <c r="F57" i="8"/>
  <c r="I57" i="8" s="1"/>
  <c r="E57" i="8"/>
  <c r="T189" i="4"/>
  <c r="R191" i="4"/>
  <c r="T236" i="4"/>
  <c r="V235" i="4"/>
  <c r="X161" i="4"/>
  <c r="W161" i="4"/>
  <c r="D158" i="4" s="1"/>
  <c r="F158" i="4" s="1"/>
  <c r="F44" i="8"/>
  <c r="I44" i="8" s="1"/>
  <c r="E44" i="8"/>
  <c r="E59" i="8"/>
  <c r="F59" i="8"/>
  <c r="I59" i="8" s="1"/>
  <c r="F50" i="8"/>
  <c r="I50" i="8" s="1"/>
  <c r="E50" i="8"/>
  <c r="E43" i="8" l="1"/>
  <c r="H43" i="8" s="1"/>
  <c r="M15" i="6"/>
  <c r="F108" i="7" s="1"/>
  <c r="E108" i="7"/>
  <c r="D23" i="7"/>
  <c r="H42" i="7"/>
  <c r="F49" i="8"/>
  <c r="I49" i="8" s="1"/>
  <c r="N15" i="6"/>
  <c r="E110" i="7"/>
  <c r="I41" i="7"/>
  <c r="C24" i="1"/>
  <c r="D153" i="6"/>
  <c r="C192" i="6"/>
  <c r="C164" i="6"/>
  <c r="C165" i="6"/>
  <c r="M22" i="6"/>
  <c r="E35" i="6"/>
  <c r="O22" i="6" s="1"/>
  <c r="O19" i="6" s="1"/>
  <c r="H60" i="8"/>
  <c r="G60" i="8"/>
  <c r="H65" i="8"/>
  <c r="G65" i="8"/>
  <c r="H67" i="8"/>
  <c r="G67" i="8"/>
  <c r="Z7" i="3"/>
  <c r="A8" i="3"/>
  <c r="B8" i="3" s="1"/>
  <c r="AC7" i="3"/>
  <c r="AD7" i="3"/>
  <c r="P7" i="3"/>
  <c r="Q7" i="3" s="1"/>
  <c r="R7" i="3" s="1"/>
  <c r="AA7" i="3"/>
  <c r="H59" i="8"/>
  <c r="G59" i="8"/>
  <c r="W235" i="4"/>
  <c r="U236" i="4"/>
  <c r="U189" i="4"/>
  <c r="S191" i="4"/>
  <c r="G46" i="8"/>
  <c r="H46" i="8"/>
  <c r="H47" i="8"/>
  <c r="G47" i="8"/>
  <c r="H42" i="8"/>
  <c r="G42" i="8"/>
  <c r="H56" i="8"/>
  <c r="G56" i="8"/>
  <c r="H52" i="8"/>
  <c r="G52" i="8"/>
  <c r="T4" i="3"/>
  <c r="U4" i="3" s="1"/>
  <c r="S5" i="3"/>
  <c r="H55" i="8"/>
  <c r="G55" i="8"/>
  <c r="H48" i="8"/>
  <c r="G48" i="8"/>
  <c r="H44" i="8"/>
  <c r="G44" i="8"/>
  <c r="H57" i="8"/>
  <c r="G57" i="8"/>
  <c r="H53" i="8"/>
  <c r="G53" i="8"/>
  <c r="W196" i="4"/>
  <c r="X196" i="4"/>
  <c r="H64" i="8"/>
  <c r="G64" i="8"/>
  <c r="G45" i="8"/>
  <c r="H45" i="8"/>
  <c r="H58" i="8"/>
  <c r="G58" i="8"/>
  <c r="H51" i="8"/>
  <c r="G51" i="8"/>
  <c r="G41" i="8"/>
  <c r="H41" i="8"/>
  <c r="H66" i="8"/>
  <c r="G66" i="8"/>
  <c r="H63" i="8"/>
  <c r="G63" i="8"/>
  <c r="H50" i="8"/>
  <c r="G50" i="8"/>
  <c r="H62" i="8"/>
  <c r="G62" i="8"/>
  <c r="H61" i="8"/>
  <c r="G61" i="8"/>
  <c r="H54" i="8"/>
  <c r="G54" i="8"/>
  <c r="H49" i="8"/>
  <c r="G49" i="8"/>
  <c r="G43" i="8" l="1"/>
  <c r="K43" i="8" s="1"/>
  <c r="M43" i="8" s="1"/>
  <c r="C155" i="6"/>
  <c r="J42" i="7"/>
  <c r="C149" i="6"/>
  <c r="C30" i="1"/>
  <c r="H71" i="7"/>
  <c r="C150" i="6"/>
  <c r="I42" i="7"/>
  <c r="D193" i="4"/>
  <c r="F193" i="4" s="1"/>
  <c r="H28" i="6"/>
  <c r="M19" i="6"/>
  <c r="K57" i="8"/>
  <c r="M57" i="8" s="1"/>
  <c r="K52" i="8"/>
  <c r="M52" i="8" s="1"/>
  <c r="K65" i="8"/>
  <c r="M65" i="8" s="1"/>
  <c r="J46" i="8"/>
  <c r="J42" i="8"/>
  <c r="J45" i="8"/>
  <c r="K44" i="8"/>
  <c r="M44" i="8" s="1"/>
  <c r="K60" i="8"/>
  <c r="M60" i="8" s="1"/>
  <c r="K54" i="8"/>
  <c r="M54" i="8" s="1"/>
  <c r="J53" i="8"/>
  <c r="J59" i="8"/>
  <c r="J67" i="8"/>
  <c r="J51" i="8"/>
  <c r="K62" i="8"/>
  <c r="M62" i="8" s="1"/>
  <c r="J61" i="8"/>
  <c r="J41" i="8"/>
  <c r="J58" i="8"/>
  <c r="J55" i="8"/>
  <c r="K47" i="8"/>
  <c r="M47" i="8" s="1"/>
  <c r="K67" i="8"/>
  <c r="M67" i="8" s="1"/>
  <c r="J64" i="8"/>
  <c r="J56" i="8"/>
  <c r="J63" i="8"/>
  <c r="K49" i="8"/>
  <c r="M49" i="8" s="1"/>
  <c r="K50" i="8"/>
  <c r="M50" i="8" s="1"/>
  <c r="J66" i="8"/>
  <c r="K48" i="8"/>
  <c r="M48" i="8" s="1"/>
  <c r="P8" i="3"/>
  <c r="Q8" i="3" s="1"/>
  <c r="R8" i="3" s="1"/>
  <c r="Z8" i="3"/>
  <c r="AD8" i="3"/>
  <c r="AA8" i="3"/>
  <c r="AC8" i="3"/>
  <c r="A9" i="3"/>
  <c r="B9" i="3" s="1"/>
  <c r="J50" i="8"/>
  <c r="K61" i="8"/>
  <c r="M61" i="8" s="1"/>
  <c r="K66" i="8"/>
  <c r="M66" i="8" s="1"/>
  <c r="K58" i="8"/>
  <c r="M58" i="8" s="1"/>
  <c r="J57" i="8"/>
  <c r="K55" i="8"/>
  <c r="M55" i="8" s="1"/>
  <c r="K56" i="8"/>
  <c r="M56" i="8" s="1"/>
  <c r="J47" i="8"/>
  <c r="V236" i="4"/>
  <c r="X235" i="4"/>
  <c r="K53" i="8"/>
  <c r="M53" i="8" s="1"/>
  <c r="K59" i="8"/>
  <c r="M59" i="8" s="1"/>
  <c r="J65" i="8"/>
  <c r="T5" i="3"/>
  <c r="S6" i="3"/>
  <c r="K46" i="8"/>
  <c r="M46" i="8" s="1"/>
  <c r="J49" i="8"/>
  <c r="J62" i="8"/>
  <c r="K45" i="8"/>
  <c r="M45" i="8" s="1"/>
  <c r="J44" i="8"/>
  <c r="K63" i="8"/>
  <c r="M63" i="8" s="1"/>
  <c r="K41" i="8"/>
  <c r="M41" i="8" s="1"/>
  <c r="K42" i="8"/>
  <c r="M42" i="8" s="1"/>
  <c r="K51" i="8"/>
  <c r="M51" i="8" s="1"/>
  <c r="K64" i="8"/>
  <c r="M64" i="8" s="1"/>
  <c r="J60" i="8"/>
  <c r="V189" i="4"/>
  <c r="T191" i="4"/>
  <c r="J54" i="8"/>
  <c r="J48" i="8"/>
  <c r="J52" i="8"/>
  <c r="J43" i="8" l="1"/>
  <c r="L43" i="8" s="1"/>
  <c r="P28" i="1"/>
  <c r="K47" i="1"/>
  <c r="H16" i="7"/>
  <c r="P27" i="1"/>
  <c r="H68" i="7"/>
  <c r="L54" i="8"/>
  <c r="L57" i="8"/>
  <c r="C194" i="6"/>
  <c r="C190" i="6"/>
  <c r="S28" i="6"/>
  <c r="C193" i="6"/>
  <c r="D152" i="6"/>
  <c r="H46" i="7"/>
  <c r="H13" i="7"/>
  <c r="L52" i="8"/>
  <c r="L65" i="8"/>
  <c r="L44" i="8"/>
  <c r="L50" i="8"/>
  <c r="L60" i="8"/>
  <c r="L49" i="8"/>
  <c r="L67" i="8"/>
  <c r="L41" i="8"/>
  <c r="L56" i="8"/>
  <c r="L66" i="8"/>
  <c r="L58" i="8"/>
  <c r="L42" i="8"/>
  <c r="L62" i="8"/>
  <c r="L51" i="8"/>
  <c r="L48" i="8"/>
  <c r="L47" i="8"/>
  <c r="AD9" i="3"/>
  <c r="AC9" i="3"/>
  <c r="AA9" i="3"/>
  <c r="P9" i="3"/>
  <c r="Q9" i="3" s="1"/>
  <c r="R9" i="3" s="1"/>
  <c r="Z9" i="3"/>
  <c r="A10" i="3"/>
  <c r="B10" i="3" s="1"/>
  <c r="W189" i="4"/>
  <c r="U191" i="4"/>
  <c r="AH5" i="3"/>
  <c r="D5" i="3"/>
  <c r="AG5" i="3"/>
  <c r="E5" i="3"/>
  <c r="H5" i="3" s="1"/>
  <c r="L61" i="8"/>
  <c r="L46" i="8"/>
  <c r="L59" i="8"/>
  <c r="L64" i="8"/>
  <c r="W236" i="4"/>
  <c r="X236" i="4"/>
  <c r="D233" i="4" s="1"/>
  <c r="L55" i="8"/>
  <c r="L53" i="8"/>
  <c r="L63" i="8"/>
  <c r="S7" i="3"/>
  <c r="T6" i="3"/>
  <c r="L45" i="8"/>
  <c r="T7" i="3" l="1"/>
  <c r="S8" i="3"/>
  <c r="V191" i="4"/>
  <c r="W191" i="4"/>
  <c r="D188" i="4" s="1"/>
  <c r="K5" i="3"/>
  <c r="AA10" i="3"/>
  <c r="P10" i="3"/>
  <c r="Q10" i="3" s="1"/>
  <c r="R10" i="3" s="1"/>
  <c r="AD10" i="3"/>
  <c r="Z10" i="3"/>
  <c r="A11" i="3"/>
  <c r="B11" i="3" s="1"/>
  <c r="AC10" i="3"/>
  <c r="F5" i="3"/>
  <c r="G5" i="3"/>
  <c r="AC11" i="3" l="1"/>
  <c r="AD11" i="3"/>
  <c r="A12" i="3"/>
  <c r="B12" i="3" s="1"/>
  <c r="P11" i="3"/>
  <c r="Q11" i="3" s="1"/>
  <c r="R11" i="3" s="1"/>
  <c r="Z11" i="3"/>
  <c r="AA11" i="3"/>
  <c r="V5" i="3"/>
  <c r="AE5" i="3"/>
  <c r="F188" i="4"/>
  <c r="N34" i="1"/>
  <c r="M36" i="6"/>
  <c r="S9" i="3"/>
  <c r="T8" i="3"/>
  <c r="J5" i="3"/>
  <c r="I5" i="3"/>
  <c r="M5" i="3"/>
  <c r="N5" i="3" s="1"/>
  <c r="W5" i="3" l="1"/>
  <c r="P12" i="3"/>
  <c r="Q12" i="3" s="1"/>
  <c r="R12" i="3" s="1"/>
  <c r="Z12" i="3"/>
  <c r="A13" i="3"/>
  <c r="B13" i="3" s="1"/>
  <c r="AD12" i="3"/>
  <c r="AA12" i="3"/>
  <c r="AC12" i="3"/>
  <c r="L5" i="3"/>
  <c r="S10" i="3"/>
  <c r="T9" i="3"/>
  <c r="AG6" i="3" l="1"/>
  <c r="AH6" i="3"/>
  <c r="U5" i="3"/>
  <c r="E6" i="3" s="1"/>
  <c r="H6" i="3" s="1"/>
  <c r="AD13" i="3"/>
  <c r="P13" i="3"/>
  <c r="Q13" i="3" s="1"/>
  <c r="R13" i="3" s="1"/>
  <c r="AC13" i="3"/>
  <c r="Z13" i="3"/>
  <c r="A14" i="3"/>
  <c r="B14" i="3" s="1"/>
  <c r="AA13" i="3"/>
  <c r="T10" i="3"/>
  <c r="S11" i="3"/>
  <c r="AC14" i="3" l="1"/>
  <c r="AA14" i="3"/>
  <c r="Z14" i="3"/>
  <c r="AD14" i="3"/>
  <c r="A15" i="3"/>
  <c r="B15" i="3" s="1"/>
  <c r="P14" i="3"/>
  <c r="Q14" i="3" s="1"/>
  <c r="R14" i="3" s="1"/>
  <c r="K6" i="3"/>
  <c r="D6" i="3"/>
  <c r="S12" i="3"/>
  <c r="T11" i="3"/>
  <c r="P15" i="3" l="1"/>
  <c r="Q15" i="3" s="1"/>
  <c r="R15" i="3" s="1"/>
  <c r="AA15" i="3"/>
  <c r="Z15" i="3"/>
  <c r="AC15" i="3"/>
  <c r="AD15" i="3"/>
  <c r="A16" i="3"/>
  <c r="B16" i="3" s="1"/>
  <c r="T12" i="3"/>
  <c r="S13" i="3"/>
  <c r="V6" i="3"/>
  <c r="AE6" i="3"/>
  <c r="F6" i="3"/>
  <c r="G6" i="3"/>
  <c r="P16" i="3" l="1"/>
  <c r="Q16" i="3" s="1"/>
  <c r="R16" i="3" s="1"/>
  <c r="A17" i="3"/>
  <c r="B17" i="3" s="1"/>
  <c r="AA16" i="3"/>
  <c r="AC16" i="3"/>
  <c r="AD16" i="3"/>
  <c r="Z16" i="3"/>
  <c r="I6" i="3"/>
  <c r="W6" i="3" s="1"/>
  <c r="J6" i="3"/>
  <c r="M6" i="3"/>
  <c r="N6" i="3" s="1"/>
  <c r="S14" i="3"/>
  <c r="T13" i="3"/>
  <c r="T14" i="3" l="1"/>
  <c r="S15" i="3"/>
  <c r="L6" i="3"/>
  <c r="A18" i="3"/>
  <c r="B18" i="3" s="1"/>
  <c r="AC17" i="3"/>
  <c r="AD17" i="3"/>
  <c r="Z17" i="3"/>
  <c r="AA17" i="3"/>
  <c r="P17" i="3"/>
  <c r="Q17" i="3" s="1"/>
  <c r="R17" i="3" s="1"/>
  <c r="AC18" i="3" l="1"/>
  <c r="P18" i="3"/>
  <c r="Q18" i="3" s="1"/>
  <c r="R18" i="3" s="1"/>
  <c r="Z18" i="3"/>
  <c r="AD18" i="3"/>
  <c r="AA18" i="3"/>
  <c r="A19" i="3"/>
  <c r="B19" i="3" s="1"/>
  <c r="AG7" i="3"/>
  <c r="U6" i="3"/>
  <c r="E7" i="3" s="1"/>
  <c r="H7" i="3" s="1"/>
  <c r="AH7" i="3"/>
  <c r="Y5" i="3"/>
  <c r="S16" i="3"/>
  <c r="T15" i="3"/>
  <c r="K7" i="3" l="1"/>
  <c r="AC19" i="3"/>
  <c r="A20" i="3"/>
  <c r="B20" i="3" s="1"/>
  <c r="AA19" i="3"/>
  <c r="P19" i="3"/>
  <c r="Q19" i="3" s="1"/>
  <c r="R19" i="3" s="1"/>
  <c r="Z19" i="3"/>
  <c r="AD19" i="3"/>
  <c r="T16" i="3"/>
  <c r="S17" i="3"/>
  <c r="D7" i="3"/>
  <c r="A21" i="3" l="1"/>
  <c r="B21" i="3" s="1"/>
  <c r="AA20" i="3"/>
  <c r="AC20" i="3"/>
  <c r="AD20" i="3"/>
  <c r="Z20" i="3"/>
  <c r="P20" i="3"/>
  <c r="Q20" i="3" s="1"/>
  <c r="R20" i="3" s="1"/>
  <c r="F7" i="3"/>
  <c r="G7" i="3"/>
  <c r="V7" i="3"/>
  <c r="AE7" i="3"/>
  <c r="T17" i="3"/>
  <c r="S18" i="3"/>
  <c r="AA21" i="3" l="1"/>
  <c r="AD21" i="3"/>
  <c r="AC21" i="3"/>
  <c r="A22" i="3"/>
  <c r="B22" i="3" s="1"/>
  <c r="P21" i="3"/>
  <c r="Q21" i="3" s="1"/>
  <c r="R21" i="3" s="1"/>
  <c r="Z21" i="3"/>
  <c r="T18" i="3"/>
  <c r="S19" i="3"/>
  <c r="I7" i="3"/>
  <c r="J7" i="3"/>
  <c r="M7" i="3"/>
  <c r="N7" i="3" s="1"/>
  <c r="AC22" i="3" l="1"/>
  <c r="Z22" i="3"/>
  <c r="AD22" i="3"/>
  <c r="P22" i="3"/>
  <c r="Q22" i="3" s="1"/>
  <c r="R22" i="3" s="1"/>
  <c r="AA22" i="3"/>
  <c r="A23" i="3"/>
  <c r="B23" i="3" s="1"/>
  <c r="S20" i="3"/>
  <c r="T19" i="3"/>
  <c r="L7" i="3"/>
  <c r="W7" i="3"/>
  <c r="AC23" i="3" l="1"/>
  <c r="P23" i="3"/>
  <c r="Q23" i="3" s="1"/>
  <c r="R23" i="3" s="1"/>
  <c r="A24" i="3"/>
  <c r="B24" i="3" s="1"/>
  <c r="AA23" i="3"/>
  <c r="Z23" i="3"/>
  <c r="AD23" i="3"/>
  <c r="AH8" i="3"/>
  <c r="U7" i="3"/>
  <c r="E8" i="3" s="1"/>
  <c r="H8" i="3" s="1"/>
  <c r="AG8" i="3"/>
  <c r="Y6" i="3"/>
  <c r="S21" i="3"/>
  <c r="T20" i="3"/>
  <c r="D8" i="3" l="1"/>
  <c r="F8" i="3" s="1"/>
  <c r="K8" i="3"/>
  <c r="T21" i="3"/>
  <c r="S22" i="3"/>
  <c r="AC24" i="3"/>
  <c r="AA24" i="3"/>
  <c r="AD24" i="3"/>
  <c r="A25" i="3"/>
  <c r="B25" i="3" s="1"/>
  <c r="Z24" i="3"/>
  <c r="P24" i="3"/>
  <c r="Q24" i="3" s="1"/>
  <c r="R24" i="3" s="1"/>
  <c r="G8" i="3" l="1"/>
  <c r="I8" i="3" s="1"/>
  <c r="Z25" i="3"/>
  <c r="P25" i="3"/>
  <c r="Q25" i="3" s="1"/>
  <c r="R25" i="3" s="1"/>
  <c r="AD25" i="3"/>
  <c r="A26" i="3"/>
  <c r="B26" i="3" s="1"/>
  <c r="AC25" i="3"/>
  <c r="AA25" i="3"/>
  <c r="V8" i="3"/>
  <c r="AE8" i="3"/>
  <c r="S23" i="3"/>
  <c r="T22" i="3"/>
  <c r="M8" i="3" l="1"/>
  <c r="N8" i="3" s="1"/>
  <c r="J8" i="3"/>
  <c r="L8" i="3" s="1"/>
  <c r="AD26" i="3"/>
  <c r="AC26" i="3"/>
  <c r="Z26" i="3"/>
  <c r="A27" i="3"/>
  <c r="B27" i="3" s="1"/>
  <c r="AA26" i="3"/>
  <c r="P26" i="3"/>
  <c r="Q26" i="3" s="1"/>
  <c r="R26" i="3" s="1"/>
  <c r="W8" i="3"/>
  <c r="S24" i="3"/>
  <c r="T23" i="3"/>
  <c r="AA27" i="3" l="1"/>
  <c r="A28" i="3"/>
  <c r="B28" i="3" s="1"/>
  <c r="P27" i="3"/>
  <c r="Q27" i="3" s="1"/>
  <c r="R27" i="3" s="1"/>
  <c r="AD27" i="3"/>
  <c r="AC27" i="3"/>
  <c r="Z27" i="3"/>
  <c r="T24" i="3"/>
  <c r="S25" i="3"/>
  <c r="U8" i="3"/>
  <c r="D9" i="3" s="1"/>
  <c r="AH9" i="3"/>
  <c r="AG9" i="3"/>
  <c r="Y7" i="3"/>
  <c r="E9" i="3" l="1"/>
  <c r="H9" i="3" s="1"/>
  <c r="K9" i="3" s="1"/>
  <c r="A29" i="3"/>
  <c r="B29" i="3" s="1"/>
  <c r="AC28" i="3"/>
  <c r="P28" i="3"/>
  <c r="Q28" i="3" s="1"/>
  <c r="R28" i="3" s="1"/>
  <c r="AA28" i="3"/>
  <c r="Z28" i="3"/>
  <c r="AD28" i="3"/>
  <c r="S26" i="3"/>
  <c r="T25" i="3"/>
  <c r="G9" i="3"/>
  <c r="F9" i="3" l="1"/>
  <c r="V9" i="3"/>
  <c r="AE9" i="3"/>
  <c r="I9" i="3"/>
  <c r="J9" i="3"/>
  <c r="M9" i="3"/>
  <c r="N9" i="3" s="1"/>
  <c r="S27" i="3"/>
  <c r="T26" i="3"/>
  <c r="AC29" i="3"/>
  <c r="P29" i="3"/>
  <c r="Q29" i="3" s="1"/>
  <c r="R29" i="3" s="1"/>
  <c r="AD29" i="3"/>
  <c r="Z29" i="3"/>
  <c r="A30" i="3"/>
  <c r="B30" i="3" s="1"/>
  <c r="AA29" i="3"/>
  <c r="L9" i="3" l="1"/>
  <c r="P30" i="3"/>
  <c r="Q30" i="3" s="1"/>
  <c r="R30" i="3" s="1"/>
  <c r="Z30" i="3"/>
  <c r="AD30" i="3"/>
  <c r="A31" i="3"/>
  <c r="B31" i="3" s="1"/>
  <c r="AC30" i="3"/>
  <c r="AA30" i="3"/>
  <c r="T27" i="3"/>
  <c r="S28" i="3"/>
  <c r="W9" i="3"/>
  <c r="AC31" i="3" l="1"/>
  <c r="Z31" i="3"/>
  <c r="AA31" i="3"/>
  <c r="A32" i="3"/>
  <c r="B32" i="3" s="1"/>
  <c r="AD31" i="3"/>
  <c r="P31" i="3"/>
  <c r="Q31" i="3" s="1"/>
  <c r="R31" i="3" s="1"/>
  <c r="S29" i="3"/>
  <c r="T28" i="3"/>
  <c r="AG10" i="3"/>
  <c r="AH10" i="3"/>
  <c r="U9" i="3"/>
  <c r="D10" i="3" s="1"/>
  <c r="Y8" i="3"/>
  <c r="AA32" i="3" l="1"/>
  <c r="AC32" i="3"/>
  <c r="AD32" i="3"/>
  <c r="Z32" i="3"/>
  <c r="P32" i="3"/>
  <c r="Q32" i="3" s="1"/>
  <c r="R32" i="3" s="1"/>
  <c r="A33" i="3"/>
  <c r="B33" i="3" s="1"/>
  <c r="G10" i="3"/>
  <c r="E10" i="3"/>
  <c r="H10" i="3" s="1"/>
  <c r="T29" i="3"/>
  <c r="S30" i="3"/>
  <c r="AC33" i="3" l="1"/>
  <c r="A34" i="3"/>
  <c r="B34" i="3" s="1"/>
  <c r="Z33" i="3"/>
  <c r="AD33" i="3"/>
  <c r="P33" i="3"/>
  <c r="Q33" i="3" s="1"/>
  <c r="R33" i="3" s="1"/>
  <c r="AA33" i="3"/>
  <c r="K10" i="3"/>
  <c r="S31" i="3"/>
  <c r="T30" i="3"/>
  <c r="I10" i="3"/>
  <c r="J10" i="3"/>
  <c r="M10" i="3"/>
  <c r="N10" i="3" s="1"/>
  <c r="F10" i="3"/>
  <c r="L10" i="3" l="1"/>
  <c r="S32" i="3"/>
  <c r="T31" i="3"/>
  <c r="V10" i="3"/>
  <c r="W10" i="3" s="1"/>
  <c r="AE10" i="3"/>
  <c r="AA34" i="3"/>
  <c r="AD34" i="3"/>
  <c r="AC34" i="3"/>
  <c r="Z34" i="3"/>
  <c r="A35" i="3"/>
  <c r="B35" i="3" s="1"/>
  <c r="P34" i="3"/>
  <c r="Q34" i="3" s="1"/>
  <c r="R34" i="3" s="1"/>
  <c r="AC35" i="3" l="1"/>
  <c r="AA35" i="3"/>
  <c r="AD35" i="3"/>
  <c r="Z35" i="3"/>
  <c r="P35" i="3"/>
  <c r="Q35" i="3" s="1"/>
  <c r="R35" i="3" s="1"/>
  <c r="A36" i="3"/>
  <c r="B36" i="3" s="1"/>
  <c r="T32" i="3"/>
  <c r="S33" i="3"/>
  <c r="AG11" i="3"/>
  <c r="AH11" i="3"/>
  <c r="U10" i="3"/>
  <c r="D11" i="3" s="1"/>
  <c r="Y9" i="3"/>
  <c r="E11" i="3" l="1"/>
  <c r="H11" i="3" s="1"/>
  <c r="K11" i="3" s="1"/>
  <c r="A37" i="3"/>
  <c r="B37" i="3" s="1"/>
  <c r="AC36" i="3"/>
  <c r="P36" i="3"/>
  <c r="Q36" i="3" s="1"/>
  <c r="R36" i="3" s="1"/>
  <c r="AD36" i="3"/>
  <c r="AA36" i="3"/>
  <c r="Z36" i="3"/>
  <c r="G11" i="3"/>
  <c r="S34" i="3"/>
  <c r="T33" i="3"/>
  <c r="F11" i="3" l="1"/>
  <c r="P37" i="3"/>
  <c r="Q37" i="3" s="1"/>
  <c r="R37" i="3" s="1"/>
  <c r="A38" i="3"/>
  <c r="B38" i="3" s="1"/>
  <c r="Z37" i="3"/>
  <c r="AC37" i="3"/>
  <c r="AD37" i="3"/>
  <c r="AA37" i="3"/>
  <c r="V11" i="3"/>
  <c r="AE11" i="3"/>
  <c r="I11" i="3"/>
  <c r="J11" i="3"/>
  <c r="M11" i="3"/>
  <c r="N11" i="3" s="1"/>
  <c r="S35" i="3"/>
  <c r="T34" i="3"/>
  <c r="P38" i="3" l="1"/>
  <c r="Q38" i="3" s="1"/>
  <c r="R38" i="3" s="1"/>
  <c r="Z38" i="3"/>
  <c r="AC38" i="3"/>
  <c r="A39" i="3"/>
  <c r="B39" i="3" s="1"/>
  <c r="AD38" i="3"/>
  <c r="AA38" i="3"/>
  <c r="L11" i="3"/>
  <c r="S36" i="3"/>
  <c r="T35" i="3"/>
  <c r="W11" i="3"/>
  <c r="AC39" i="3" l="1"/>
  <c r="AD39" i="3"/>
  <c r="Z39" i="3"/>
  <c r="AA39" i="3"/>
  <c r="A40" i="3"/>
  <c r="B40" i="3" s="1"/>
  <c r="P39" i="3"/>
  <c r="Q39" i="3" s="1"/>
  <c r="R39" i="3" s="1"/>
  <c r="T36" i="3"/>
  <c r="S37" i="3"/>
  <c r="AG12" i="3"/>
  <c r="AH12" i="3"/>
  <c r="U11" i="3"/>
  <c r="D12" i="3" s="1"/>
  <c r="Y10" i="3"/>
  <c r="E12" i="3" l="1"/>
  <c r="H12" i="3" s="1"/>
  <c r="K12" i="3" s="1"/>
  <c r="AA40" i="3"/>
  <c r="AC40" i="3"/>
  <c r="AD40" i="3"/>
  <c r="P40" i="3"/>
  <c r="Q40" i="3" s="1"/>
  <c r="R40" i="3" s="1"/>
  <c r="Z40" i="3"/>
  <c r="A41" i="3"/>
  <c r="B41" i="3" s="1"/>
  <c r="G12" i="3"/>
  <c r="S38" i="3"/>
  <c r="T37" i="3"/>
  <c r="F12" i="3" l="1"/>
  <c r="A42" i="3"/>
  <c r="B42" i="3" s="1"/>
  <c r="Z41" i="3"/>
  <c r="AC41" i="3"/>
  <c r="AA41" i="3"/>
  <c r="AD41" i="3"/>
  <c r="P41" i="3"/>
  <c r="Q41" i="3" s="1"/>
  <c r="R41" i="3" s="1"/>
  <c r="T38" i="3"/>
  <c r="S39" i="3"/>
  <c r="V12" i="3"/>
  <c r="AE12" i="3"/>
  <c r="I12" i="3"/>
  <c r="J12" i="3"/>
  <c r="M12" i="3"/>
  <c r="N12" i="3" s="1"/>
  <c r="T39" i="3" l="1"/>
  <c r="S40" i="3"/>
  <c r="W12" i="3"/>
  <c r="AD42" i="3"/>
  <c r="AC42" i="3"/>
  <c r="A43" i="3"/>
  <c r="B43" i="3" s="1"/>
  <c r="P42" i="3"/>
  <c r="Q42" i="3" s="1"/>
  <c r="R42" i="3" s="1"/>
  <c r="Z42" i="3"/>
  <c r="AA42" i="3"/>
  <c r="L12" i="3"/>
  <c r="AD43" i="3" l="1"/>
  <c r="P43" i="3"/>
  <c r="Q43" i="3" s="1"/>
  <c r="R43" i="3" s="1"/>
  <c r="AC43" i="3"/>
  <c r="Z43" i="3"/>
  <c r="A44" i="3"/>
  <c r="B44" i="3" s="1"/>
  <c r="AA43" i="3"/>
  <c r="AH13" i="3"/>
  <c r="U12" i="3"/>
  <c r="D13" i="3" s="1"/>
  <c r="AG13" i="3"/>
  <c r="Y11" i="3"/>
  <c r="T40" i="3"/>
  <c r="S41" i="3"/>
  <c r="E13" i="3" l="1"/>
  <c r="H13" i="3" s="1"/>
  <c r="K13" i="3" s="1"/>
  <c r="G13" i="3"/>
  <c r="A45" i="3"/>
  <c r="B45" i="3" s="1"/>
  <c r="AC44" i="3"/>
  <c r="AD44" i="3"/>
  <c r="AA44" i="3"/>
  <c r="P44" i="3"/>
  <c r="Q44" i="3" s="1"/>
  <c r="R44" i="3" s="1"/>
  <c r="Z44" i="3"/>
  <c r="S42" i="3"/>
  <c r="T41" i="3"/>
  <c r="F13" i="3" l="1"/>
  <c r="V13" i="3"/>
  <c r="AE13" i="3"/>
  <c r="I13" i="3"/>
  <c r="J13" i="3"/>
  <c r="M13" i="3"/>
  <c r="N13" i="3" s="1"/>
  <c r="T42" i="3"/>
  <c r="S43" i="3"/>
  <c r="AA45" i="3"/>
  <c r="A46" i="3"/>
  <c r="B46" i="3" s="1"/>
  <c r="Z45" i="3"/>
  <c r="AC45" i="3"/>
  <c r="P45" i="3"/>
  <c r="Q45" i="3" s="1"/>
  <c r="R45" i="3" s="1"/>
  <c r="AD45" i="3"/>
  <c r="AD46" i="3" l="1"/>
  <c r="P46" i="3"/>
  <c r="Q46" i="3" s="1"/>
  <c r="R46" i="3" s="1"/>
  <c r="AC46" i="3"/>
  <c r="AA46" i="3"/>
  <c r="A47" i="3"/>
  <c r="B47" i="3" s="1"/>
  <c r="Z46" i="3"/>
  <c r="T43" i="3"/>
  <c r="S44" i="3"/>
  <c r="W13" i="3"/>
  <c r="L13" i="3"/>
  <c r="AD47" i="3" l="1"/>
  <c r="P47" i="3"/>
  <c r="Q47" i="3" s="1"/>
  <c r="R47" i="3" s="1"/>
  <c r="A48" i="3"/>
  <c r="B48" i="3" s="1"/>
  <c r="Z47" i="3"/>
  <c r="AA47" i="3"/>
  <c r="AC47" i="3"/>
  <c r="U13" i="3"/>
  <c r="E14" i="3" s="1"/>
  <c r="H14" i="3" s="1"/>
  <c r="AH14" i="3"/>
  <c r="AG14" i="3"/>
  <c r="Y12" i="3"/>
  <c r="T44" i="3"/>
  <c r="S45" i="3"/>
  <c r="D14" i="3" l="1"/>
  <c r="F14" i="3" s="1"/>
  <c r="P48" i="3"/>
  <c r="Q48" i="3" s="1"/>
  <c r="R48" i="3" s="1"/>
  <c r="AA48" i="3"/>
  <c r="AD48" i="3"/>
  <c r="AC48" i="3"/>
  <c r="A49" i="3"/>
  <c r="B49" i="3" s="1"/>
  <c r="Z48" i="3"/>
  <c r="K14" i="3"/>
  <c r="S46" i="3"/>
  <c r="T45" i="3"/>
  <c r="G14" i="3" l="1"/>
  <c r="M14" i="3" s="1"/>
  <c r="N14" i="3" s="1"/>
  <c r="AC49" i="3"/>
  <c r="AD49" i="3"/>
  <c r="P49" i="3"/>
  <c r="Q49" i="3" s="1"/>
  <c r="R49" i="3" s="1"/>
  <c r="AA49" i="3"/>
  <c r="Z49" i="3"/>
  <c r="A50" i="3"/>
  <c r="B50" i="3" s="1"/>
  <c r="S47" i="3"/>
  <c r="T46" i="3"/>
  <c r="V14" i="3"/>
  <c r="AE14" i="3"/>
  <c r="J14" i="3" l="1"/>
  <c r="L14" i="3" s="1"/>
  <c r="I14" i="3"/>
  <c r="W14" i="3" s="1"/>
  <c r="P50" i="3"/>
  <c r="Q50" i="3" s="1"/>
  <c r="R50" i="3" s="1"/>
  <c r="A51" i="3"/>
  <c r="B51" i="3" s="1"/>
  <c r="AC50" i="3"/>
  <c r="Z50" i="3"/>
  <c r="AA50" i="3"/>
  <c r="AD50" i="3"/>
  <c r="T47" i="3"/>
  <c r="S48" i="3"/>
  <c r="AD51" i="3" l="1"/>
  <c r="AC51" i="3"/>
  <c r="AA51" i="3"/>
  <c r="P51" i="3"/>
  <c r="Q51" i="3" s="1"/>
  <c r="R51" i="3" s="1"/>
  <c r="Z51" i="3"/>
  <c r="A52" i="3"/>
  <c r="B52" i="3" s="1"/>
  <c r="S49" i="3"/>
  <c r="T48" i="3"/>
  <c r="AG15" i="3"/>
  <c r="AH15" i="3"/>
  <c r="U14" i="3"/>
  <c r="D15" i="3" s="1"/>
  <c r="Y13" i="3"/>
  <c r="AD52" i="3" l="1"/>
  <c r="AA52" i="3"/>
  <c r="Z52" i="3"/>
  <c r="AC52" i="3"/>
  <c r="A53" i="3"/>
  <c r="B53" i="3" s="1"/>
  <c r="P52" i="3"/>
  <c r="Q52" i="3" s="1"/>
  <c r="R52" i="3" s="1"/>
  <c r="G15" i="3"/>
  <c r="E15" i="3"/>
  <c r="H15" i="3" s="1"/>
  <c r="S50" i="3"/>
  <c r="T49" i="3"/>
  <c r="AA53" i="3" l="1"/>
  <c r="AC53" i="3"/>
  <c r="AD53" i="3"/>
  <c r="A54" i="3"/>
  <c r="B54" i="3" s="1"/>
  <c r="P53" i="3"/>
  <c r="Q53" i="3" s="1"/>
  <c r="R53" i="3" s="1"/>
  <c r="Z53" i="3"/>
  <c r="T50" i="3"/>
  <c r="S51" i="3"/>
  <c r="I15" i="3"/>
  <c r="J15" i="3"/>
  <c r="M15" i="3"/>
  <c r="N15" i="3" s="1"/>
  <c r="K15" i="3"/>
  <c r="F15" i="3"/>
  <c r="AC54" i="3" l="1"/>
  <c r="A55" i="3"/>
  <c r="B55" i="3" s="1"/>
  <c r="Z54" i="3"/>
  <c r="P54" i="3"/>
  <c r="Q54" i="3" s="1"/>
  <c r="R54" i="3" s="1"/>
  <c r="AA54" i="3"/>
  <c r="AD54" i="3"/>
  <c r="L15" i="3"/>
  <c r="T51" i="3"/>
  <c r="S52" i="3"/>
  <c r="V15" i="3"/>
  <c r="W15" i="3" s="1"/>
  <c r="AE15" i="3"/>
  <c r="Z55" i="3" l="1"/>
  <c r="P55" i="3"/>
  <c r="Q55" i="3" s="1"/>
  <c r="R55" i="3" s="1"/>
  <c r="AD55" i="3"/>
  <c r="A56" i="3"/>
  <c r="B56" i="3" s="1"/>
  <c r="AC55" i="3"/>
  <c r="AA55" i="3"/>
  <c r="S53" i="3"/>
  <c r="T52" i="3"/>
  <c r="U15" i="3"/>
  <c r="D16" i="3" s="1"/>
  <c r="AH16" i="3"/>
  <c r="AG16" i="3"/>
  <c r="Y14" i="3"/>
  <c r="E16" i="3" l="1"/>
  <c r="H16" i="3" s="1"/>
  <c r="K16" i="3" s="1"/>
  <c r="AA56" i="3"/>
  <c r="P56" i="3"/>
  <c r="Q56" i="3" s="1"/>
  <c r="R56" i="3" s="1"/>
  <c r="A57" i="3"/>
  <c r="B57" i="3" s="1"/>
  <c r="Z56" i="3"/>
  <c r="AD56" i="3"/>
  <c r="AC56" i="3"/>
  <c r="G16" i="3"/>
  <c r="S54" i="3"/>
  <c r="T53" i="3"/>
  <c r="F16" i="3" l="1"/>
  <c r="AA57" i="3"/>
  <c r="A58" i="3"/>
  <c r="B58" i="3" s="1"/>
  <c r="AC57" i="3"/>
  <c r="P57" i="3"/>
  <c r="Q57" i="3" s="1"/>
  <c r="R57" i="3" s="1"/>
  <c r="AD57" i="3"/>
  <c r="Z57" i="3"/>
  <c r="V16" i="3"/>
  <c r="AE16" i="3"/>
  <c r="S55" i="3"/>
  <c r="T54" i="3"/>
  <c r="I16" i="3"/>
  <c r="J16" i="3"/>
  <c r="M16" i="3"/>
  <c r="N16" i="3" s="1"/>
  <c r="AD58" i="3" l="1"/>
  <c r="AA58" i="3"/>
  <c r="A59" i="3"/>
  <c r="B59" i="3" s="1"/>
  <c r="P58" i="3"/>
  <c r="Q58" i="3" s="1"/>
  <c r="R58" i="3" s="1"/>
  <c r="AC58" i="3"/>
  <c r="Z58" i="3"/>
  <c r="S56" i="3"/>
  <c r="T55" i="3"/>
  <c r="W16" i="3"/>
  <c r="L16" i="3"/>
  <c r="AH17" i="3" l="1"/>
  <c r="AG17" i="3"/>
  <c r="U16" i="3"/>
  <c r="E17" i="3" s="1"/>
  <c r="H17" i="3" s="1"/>
  <c r="Y15" i="3"/>
  <c r="P59" i="3"/>
  <c r="Q59" i="3" s="1"/>
  <c r="R59" i="3" s="1"/>
  <c r="AA59" i="3"/>
  <c r="Z59" i="3"/>
  <c r="A60" i="3"/>
  <c r="B60" i="3" s="1"/>
  <c r="AC59" i="3"/>
  <c r="AD59" i="3"/>
  <c r="T56" i="3"/>
  <c r="S57" i="3"/>
  <c r="D17" i="3" l="1"/>
  <c r="F17" i="3" s="1"/>
  <c r="AA60" i="3"/>
  <c r="AD60" i="3"/>
  <c r="Z60" i="3"/>
  <c r="AC60" i="3"/>
  <c r="P60" i="3"/>
  <c r="Q60" i="3" s="1"/>
  <c r="R60" i="3" s="1"/>
  <c r="A61" i="3"/>
  <c r="B61" i="3" s="1"/>
  <c r="K17" i="3"/>
  <c r="T57" i="3"/>
  <c r="S58" i="3"/>
  <c r="G17" i="3" l="1"/>
  <c r="I17" i="3" s="1"/>
  <c r="Z61" i="3"/>
  <c r="AA61" i="3"/>
  <c r="P61" i="3"/>
  <c r="Q61" i="3" s="1"/>
  <c r="R61" i="3" s="1"/>
  <c r="AD61" i="3"/>
  <c r="AC61" i="3"/>
  <c r="A62" i="3"/>
  <c r="B62" i="3" s="1"/>
  <c r="T58" i="3"/>
  <c r="S59" i="3"/>
  <c r="V17" i="3"/>
  <c r="AE17" i="3"/>
  <c r="J17" i="3" l="1"/>
  <c r="L17" i="3" s="1"/>
  <c r="M17" i="3"/>
  <c r="N17" i="3" s="1"/>
  <c r="Z62" i="3"/>
  <c r="AC62" i="3"/>
  <c r="AD62" i="3"/>
  <c r="A63" i="3"/>
  <c r="B63" i="3" s="1"/>
  <c r="P62" i="3"/>
  <c r="Q62" i="3" s="1"/>
  <c r="R62" i="3" s="1"/>
  <c r="AA62" i="3"/>
  <c r="W17" i="3"/>
  <c r="S60" i="3"/>
  <c r="T59" i="3"/>
  <c r="A64" i="3" l="1"/>
  <c r="B64" i="3" s="1"/>
  <c r="AD63" i="3"/>
  <c r="AC63" i="3"/>
  <c r="Z63" i="3"/>
  <c r="AA63" i="3"/>
  <c r="P63" i="3"/>
  <c r="Q63" i="3" s="1"/>
  <c r="R63" i="3" s="1"/>
  <c r="AH18" i="3"/>
  <c r="AG18" i="3"/>
  <c r="U17" i="3"/>
  <c r="E18" i="3" s="1"/>
  <c r="H18" i="3" s="1"/>
  <c r="Y16" i="3"/>
  <c r="S61" i="3"/>
  <c r="T60" i="3"/>
  <c r="D18" i="3" l="1"/>
  <c r="G18" i="3" s="1"/>
  <c r="T61" i="3"/>
  <c r="S62" i="3"/>
  <c r="K18" i="3"/>
  <c r="P64" i="3"/>
  <c r="Q64" i="3" s="1"/>
  <c r="R64" i="3" s="1"/>
  <c r="A65" i="3"/>
  <c r="B65" i="3" s="1"/>
  <c r="AA64" i="3"/>
  <c r="Z64" i="3"/>
  <c r="AC64" i="3"/>
  <c r="AD64" i="3"/>
  <c r="F18" i="3" l="1"/>
  <c r="V18" i="3"/>
  <c r="AE18" i="3"/>
  <c r="AC65" i="3"/>
  <c r="Z65" i="3"/>
  <c r="AA65" i="3"/>
  <c r="A66" i="3"/>
  <c r="B66" i="3" s="1"/>
  <c r="P65" i="3"/>
  <c r="Q65" i="3" s="1"/>
  <c r="R65" i="3" s="1"/>
  <c r="AD65" i="3"/>
  <c r="S63" i="3"/>
  <c r="T62" i="3"/>
  <c r="I18" i="3"/>
  <c r="J18" i="3"/>
  <c r="M18" i="3"/>
  <c r="N18" i="3" s="1"/>
  <c r="A67" i="3" l="1"/>
  <c r="B67" i="3" s="1"/>
  <c r="AA66" i="3"/>
  <c r="Z66" i="3"/>
  <c r="AD66" i="3"/>
  <c r="P66" i="3"/>
  <c r="Q66" i="3" s="1"/>
  <c r="R66" i="3" s="1"/>
  <c r="AC66" i="3"/>
  <c r="W18" i="3"/>
  <c r="S64" i="3"/>
  <c r="T63" i="3"/>
  <c r="L18" i="3"/>
  <c r="A68" i="3" l="1"/>
  <c r="B68" i="3" s="1"/>
  <c r="AA67" i="3"/>
  <c r="AD67" i="3"/>
  <c r="AC67" i="3"/>
  <c r="Z67" i="3"/>
  <c r="P67" i="3"/>
  <c r="Q67" i="3" s="1"/>
  <c r="R67" i="3" s="1"/>
  <c r="AG19" i="3"/>
  <c r="U18" i="3"/>
  <c r="D19" i="3" s="1"/>
  <c r="AH19" i="3"/>
  <c r="Y17" i="3"/>
  <c r="T64" i="3"/>
  <c r="S65" i="3"/>
  <c r="E19" i="3" l="1"/>
  <c r="H19" i="3" s="1"/>
  <c r="K19" i="3" s="1"/>
  <c r="Z68" i="3"/>
  <c r="A69" i="3"/>
  <c r="B69" i="3" s="1"/>
  <c r="AC68" i="3"/>
  <c r="AD68" i="3"/>
  <c r="AA68" i="3"/>
  <c r="P68" i="3"/>
  <c r="Q68" i="3" s="1"/>
  <c r="R68" i="3" s="1"/>
  <c r="G19" i="3"/>
  <c r="T65" i="3"/>
  <c r="S66" i="3"/>
  <c r="F19" i="3" l="1"/>
  <c r="S67" i="3"/>
  <c r="T66" i="3"/>
  <c r="I19" i="3"/>
  <c r="J19" i="3"/>
  <c r="M19" i="3"/>
  <c r="N19" i="3" s="1"/>
  <c r="V19" i="3"/>
  <c r="AE19" i="3"/>
  <c r="A70" i="3"/>
  <c r="B70" i="3" s="1"/>
  <c r="AC69" i="3"/>
  <c r="AA69" i="3"/>
  <c r="Z69" i="3"/>
  <c r="P69" i="3"/>
  <c r="Q69" i="3" s="1"/>
  <c r="R69" i="3" s="1"/>
  <c r="AD69" i="3"/>
  <c r="W19" i="3" l="1"/>
  <c r="AA70" i="3"/>
  <c r="A71" i="3"/>
  <c r="B71" i="3" s="1"/>
  <c r="AD70" i="3"/>
  <c r="AC70" i="3"/>
  <c r="P70" i="3"/>
  <c r="Q70" i="3" s="1"/>
  <c r="R70" i="3" s="1"/>
  <c r="Z70" i="3"/>
  <c r="L19" i="3"/>
  <c r="S68" i="3"/>
  <c r="T67" i="3"/>
  <c r="P71" i="3" l="1"/>
  <c r="Q71" i="3" s="1"/>
  <c r="R71" i="3" s="1"/>
  <c r="A72" i="3"/>
  <c r="B72" i="3" s="1"/>
  <c r="Z71" i="3"/>
  <c r="AC71" i="3"/>
  <c r="AD71" i="3"/>
  <c r="AA71" i="3"/>
  <c r="AH20" i="3"/>
  <c r="U19" i="3"/>
  <c r="E20" i="3" s="1"/>
  <c r="H20" i="3" s="1"/>
  <c r="AG20" i="3"/>
  <c r="Y18" i="3"/>
  <c r="S69" i="3"/>
  <c r="T68" i="3"/>
  <c r="K20" i="3" l="1"/>
  <c r="S70" i="3"/>
  <c r="T69" i="3"/>
  <c r="D20" i="3"/>
  <c r="P72" i="3"/>
  <c r="Q72" i="3" s="1"/>
  <c r="R72" i="3" s="1"/>
  <c r="AD72" i="3"/>
  <c r="AC72" i="3"/>
  <c r="Z72" i="3"/>
  <c r="AA72" i="3"/>
  <c r="A73" i="3"/>
  <c r="B73" i="3" s="1"/>
  <c r="Z73" i="3" l="1"/>
  <c r="AD73" i="3"/>
  <c r="AC73" i="3"/>
  <c r="P73" i="3"/>
  <c r="Q73" i="3" s="1"/>
  <c r="R73" i="3" s="1"/>
  <c r="A74" i="3"/>
  <c r="B74" i="3" s="1"/>
  <c r="AA73" i="3"/>
  <c r="F20" i="3"/>
  <c r="G20" i="3"/>
  <c r="T70" i="3"/>
  <c r="S71" i="3"/>
  <c r="V20" i="3"/>
  <c r="AE20" i="3"/>
  <c r="Z74" i="3" l="1"/>
  <c r="AD74" i="3"/>
  <c r="AC74" i="3"/>
  <c r="P74" i="3"/>
  <c r="Q74" i="3" s="1"/>
  <c r="R74" i="3" s="1"/>
  <c r="AA74" i="3"/>
  <c r="A75" i="3"/>
  <c r="B75" i="3" s="1"/>
  <c r="I20" i="3"/>
  <c r="W20" i="3" s="1"/>
  <c r="J20" i="3"/>
  <c r="M20" i="3"/>
  <c r="N20" i="3" s="1"/>
  <c r="T71" i="3"/>
  <c r="S72" i="3"/>
  <c r="AC75" i="3" l="1"/>
  <c r="P75" i="3"/>
  <c r="Q75" i="3" s="1"/>
  <c r="R75" i="3" s="1"/>
  <c r="AD75" i="3"/>
  <c r="Z75" i="3"/>
  <c r="A76" i="3"/>
  <c r="B76" i="3" s="1"/>
  <c r="AA75" i="3"/>
  <c r="S73" i="3"/>
  <c r="T72" i="3"/>
  <c r="L20" i="3"/>
  <c r="A77" i="3" l="1"/>
  <c r="B77" i="3" s="1"/>
  <c r="AD76" i="3"/>
  <c r="AC76" i="3"/>
  <c r="Z76" i="3"/>
  <c r="AA76" i="3"/>
  <c r="P76" i="3"/>
  <c r="Q76" i="3" s="1"/>
  <c r="R76" i="3" s="1"/>
  <c r="AG21" i="3"/>
  <c r="U20" i="3"/>
  <c r="E21" i="3" s="1"/>
  <c r="H21" i="3" s="1"/>
  <c r="AH21" i="3"/>
  <c r="Y19" i="3"/>
  <c r="S74" i="3"/>
  <c r="T73" i="3"/>
  <c r="K21" i="3" l="1"/>
  <c r="AD77" i="3"/>
  <c r="A78" i="3"/>
  <c r="B78" i="3" s="1"/>
  <c r="AC77" i="3"/>
  <c r="AA77" i="3"/>
  <c r="Z77" i="3"/>
  <c r="P77" i="3"/>
  <c r="Q77" i="3" s="1"/>
  <c r="R77" i="3" s="1"/>
  <c r="T74" i="3"/>
  <c r="S75" i="3"/>
  <c r="D21" i="3"/>
  <c r="AD78" i="3" l="1"/>
  <c r="P78" i="3"/>
  <c r="Q78" i="3" s="1"/>
  <c r="R78" i="3" s="1"/>
  <c r="Z78" i="3"/>
  <c r="A79" i="3"/>
  <c r="B79" i="3" s="1"/>
  <c r="AC78" i="3"/>
  <c r="AA78" i="3"/>
  <c r="S76" i="3"/>
  <c r="T75" i="3"/>
  <c r="V21" i="3"/>
  <c r="AE21" i="3"/>
  <c r="F21" i="3"/>
  <c r="G21" i="3"/>
  <c r="I21" i="3" l="1"/>
  <c r="W21" i="3" s="1"/>
  <c r="J21" i="3"/>
  <c r="M21" i="3"/>
  <c r="N21" i="3" s="1"/>
  <c r="P79" i="3"/>
  <c r="Q79" i="3" s="1"/>
  <c r="R79" i="3" s="1"/>
  <c r="A80" i="3"/>
  <c r="B80" i="3" s="1"/>
  <c r="AA79" i="3"/>
  <c r="AD79" i="3"/>
  <c r="Z79" i="3"/>
  <c r="AC79" i="3"/>
  <c r="S77" i="3"/>
  <c r="T76" i="3"/>
  <c r="P80" i="3" l="1"/>
  <c r="Q80" i="3" s="1"/>
  <c r="R80" i="3" s="1"/>
  <c r="AA80" i="3"/>
  <c r="Z80" i="3"/>
  <c r="AC80" i="3"/>
  <c r="A81" i="3"/>
  <c r="B81" i="3" s="1"/>
  <c r="AD80" i="3"/>
  <c r="T77" i="3"/>
  <c r="S78" i="3"/>
  <c r="L21" i="3"/>
  <c r="AC81" i="3" l="1"/>
  <c r="A82" i="3"/>
  <c r="B82" i="3" s="1"/>
  <c r="AA81" i="3"/>
  <c r="P81" i="3"/>
  <c r="Q81" i="3" s="1"/>
  <c r="R81" i="3" s="1"/>
  <c r="Z81" i="3"/>
  <c r="AD81" i="3"/>
  <c r="AG22" i="3"/>
  <c r="U21" i="3"/>
  <c r="D22" i="3" s="1"/>
  <c r="AH22" i="3"/>
  <c r="Y20" i="3"/>
  <c r="T78" i="3"/>
  <c r="S79" i="3"/>
  <c r="E22" i="3" l="1"/>
  <c r="H22" i="3" s="1"/>
  <c r="K22" i="3" s="1"/>
  <c r="G22" i="3"/>
  <c r="S80" i="3"/>
  <c r="T79" i="3"/>
  <c r="Z82" i="3"/>
  <c r="A83" i="3"/>
  <c r="B83" i="3" s="1"/>
  <c r="AD82" i="3"/>
  <c r="P82" i="3"/>
  <c r="Q82" i="3" s="1"/>
  <c r="R82" i="3" s="1"/>
  <c r="AC82" i="3"/>
  <c r="AA82" i="3"/>
  <c r="F22" i="3" l="1"/>
  <c r="V22" i="3"/>
  <c r="AE22" i="3"/>
  <c r="AD83" i="3"/>
  <c r="AC83" i="3"/>
  <c r="P83" i="3"/>
  <c r="Q83" i="3" s="1"/>
  <c r="R83" i="3" s="1"/>
  <c r="Z83" i="3"/>
  <c r="AA83" i="3"/>
  <c r="A84" i="3"/>
  <c r="B84" i="3" s="1"/>
  <c r="T80" i="3"/>
  <c r="S81" i="3"/>
  <c r="I22" i="3"/>
  <c r="J22" i="3"/>
  <c r="M22" i="3"/>
  <c r="N22" i="3" s="1"/>
  <c r="T81" i="3" l="1"/>
  <c r="S82" i="3"/>
  <c r="AA84" i="3"/>
  <c r="AC84" i="3"/>
  <c r="Z84" i="3"/>
  <c r="AD84" i="3"/>
  <c r="P84" i="3"/>
  <c r="Q84" i="3" s="1"/>
  <c r="R84" i="3" s="1"/>
  <c r="A85" i="3"/>
  <c r="B85" i="3" s="1"/>
  <c r="W22" i="3"/>
  <c r="L22" i="3"/>
  <c r="AC85" i="3" l="1"/>
  <c r="AD85" i="3"/>
  <c r="P85" i="3"/>
  <c r="Q85" i="3" s="1"/>
  <c r="R85" i="3" s="1"/>
  <c r="A86" i="3"/>
  <c r="B86" i="3" s="1"/>
  <c r="AA85" i="3"/>
  <c r="Z85" i="3"/>
  <c r="T82" i="3"/>
  <c r="S83" i="3"/>
  <c r="AH23" i="3"/>
  <c r="AG23" i="3"/>
  <c r="U22" i="3"/>
  <c r="E23" i="3" s="1"/>
  <c r="H23" i="3" s="1"/>
  <c r="Y21" i="3"/>
  <c r="D23" i="3" l="1"/>
  <c r="G23" i="3" s="1"/>
  <c r="K23" i="3"/>
  <c r="Z86" i="3"/>
  <c r="P86" i="3"/>
  <c r="Q86" i="3" s="1"/>
  <c r="R86" i="3" s="1"/>
  <c r="AA86" i="3"/>
  <c r="A87" i="3"/>
  <c r="B87" i="3" s="1"/>
  <c r="AC86" i="3"/>
  <c r="AD86" i="3"/>
  <c r="S84" i="3"/>
  <c r="T83" i="3"/>
  <c r="F23" i="3" l="1"/>
  <c r="AD87" i="3"/>
  <c r="P87" i="3"/>
  <c r="Q87" i="3" s="1"/>
  <c r="R87" i="3" s="1"/>
  <c r="AA87" i="3"/>
  <c r="Z87" i="3"/>
  <c r="A88" i="3"/>
  <c r="B88" i="3" s="1"/>
  <c r="AC87" i="3"/>
  <c r="S85" i="3"/>
  <c r="T84" i="3"/>
  <c r="V23" i="3"/>
  <c r="AE23" i="3"/>
  <c r="I23" i="3"/>
  <c r="J23" i="3"/>
  <c r="M23" i="3"/>
  <c r="N23" i="3" s="1"/>
  <c r="P88" i="3" l="1"/>
  <c r="Q88" i="3" s="1"/>
  <c r="R88" i="3" s="1"/>
  <c r="AC88" i="3"/>
  <c r="A89" i="3"/>
  <c r="B89" i="3" s="1"/>
  <c r="Z88" i="3"/>
  <c r="AD88" i="3"/>
  <c r="AA88" i="3"/>
  <c r="W23" i="3"/>
  <c r="L23" i="3"/>
  <c r="T85" i="3"/>
  <c r="S86" i="3"/>
  <c r="U23" i="3" l="1"/>
  <c r="E24" i="3" s="1"/>
  <c r="H24" i="3" s="1"/>
  <c r="AG24" i="3"/>
  <c r="AH24" i="3"/>
  <c r="Y22" i="3"/>
  <c r="T86" i="3"/>
  <c r="S87" i="3"/>
  <c r="Z89" i="3"/>
  <c r="AA89" i="3"/>
  <c r="AD89" i="3"/>
  <c r="AC89" i="3"/>
  <c r="A90" i="3"/>
  <c r="B90" i="3" s="1"/>
  <c r="P89" i="3"/>
  <c r="Q89" i="3" s="1"/>
  <c r="R89" i="3" s="1"/>
  <c r="D24" i="3" l="1"/>
  <c r="G24" i="3" s="1"/>
  <c r="AC90" i="3"/>
  <c r="AA90" i="3"/>
  <c r="Z90" i="3"/>
  <c r="AD90" i="3"/>
  <c r="A91" i="3"/>
  <c r="B91" i="3" s="1"/>
  <c r="P90" i="3"/>
  <c r="Q90" i="3" s="1"/>
  <c r="R90" i="3" s="1"/>
  <c r="K24" i="3"/>
  <c r="T87" i="3"/>
  <c r="S88" i="3"/>
  <c r="F24" i="3" l="1"/>
  <c r="P91" i="3"/>
  <c r="Q91" i="3" s="1"/>
  <c r="R91" i="3" s="1"/>
  <c r="AD91" i="3"/>
  <c r="AA91" i="3"/>
  <c r="A92" i="3"/>
  <c r="B92" i="3" s="1"/>
  <c r="AC91" i="3"/>
  <c r="Z91" i="3"/>
  <c r="T88" i="3"/>
  <c r="S89" i="3"/>
  <c r="I24" i="3"/>
  <c r="J24" i="3"/>
  <c r="M24" i="3"/>
  <c r="N24" i="3" s="1"/>
  <c r="V24" i="3"/>
  <c r="AE24" i="3"/>
  <c r="W24" i="3" l="1"/>
  <c r="P92" i="3"/>
  <c r="Q92" i="3" s="1"/>
  <c r="R92" i="3" s="1"/>
  <c r="A93" i="3"/>
  <c r="B93" i="3" s="1"/>
  <c r="AC92" i="3"/>
  <c r="Z92" i="3"/>
  <c r="AA92" i="3"/>
  <c r="AD92" i="3"/>
  <c r="L24" i="3"/>
  <c r="S90" i="3"/>
  <c r="T89" i="3"/>
  <c r="A94" i="3" l="1"/>
  <c r="B94" i="3" s="1"/>
  <c r="AD93" i="3"/>
  <c r="Z93" i="3"/>
  <c r="AC93" i="3"/>
  <c r="P93" i="3"/>
  <c r="Q93" i="3" s="1"/>
  <c r="R93" i="3" s="1"/>
  <c r="AA93" i="3"/>
  <c r="AH25" i="3"/>
  <c r="U24" i="3"/>
  <c r="D25" i="3" s="1"/>
  <c r="AG25" i="3"/>
  <c r="Y23" i="3"/>
  <c r="S91" i="3"/>
  <c r="T90" i="3"/>
  <c r="E25" i="3" l="1"/>
  <c r="H25" i="3" s="1"/>
  <c r="K25" i="3" s="1"/>
  <c r="P94" i="3"/>
  <c r="Q94" i="3" s="1"/>
  <c r="R94" i="3" s="1"/>
  <c r="AC94" i="3"/>
  <c r="Z94" i="3"/>
  <c r="A95" i="3"/>
  <c r="B95" i="3" s="1"/>
  <c r="AA94" i="3"/>
  <c r="AD94" i="3"/>
  <c r="T91" i="3"/>
  <c r="S92" i="3"/>
  <c r="G25" i="3"/>
  <c r="F25" i="3" l="1"/>
  <c r="P95" i="3"/>
  <c r="Q95" i="3" s="1"/>
  <c r="R95" i="3" s="1"/>
  <c r="AA95" i="3"/>
  <c r="Z95" i="3"/>
  <c r="AC95" i="3"/>
  <c r="AD95" i="3"/>
  <c r="A96" i="3"/>
  <c r="B96" i="3" s="1"/>
  <c r="V25" i="3"/>
  <c r="AE25" i="3"/>
  <c r="I25" i="3"/>
  <c r="J25" i="3"/>
  <c r="M25" i="3"/>
  <c r="N25" i="3" s="1"/>
  <c r="S93" i="3"/>
  <c r="T92" i="3"/>
  <c r="A97" i="3" l="1"/>
  <c r="B97" i="3" s="1"/>
  <c r="P96" i="3"/>
  <c r="Q96" i="3" s="1"/>
  <c r="R96" i="3" s="1"/>
  <c r="AD96" i="3"/>
  <c r="Z96" i="3"/>
  <c r="AC96" i="3"/>
  <c r="AA96" i="3"/>
  <c r="L25" i="3"/>
  <c r="W25" i="3"/>
  <c r="T93" i="3"/>
  <c r="S94" i="3"/>
  <c r="Z97" i="3" l="1"/>
  <c r="AC97" i="3"/>
  <c r="AD97" i="3"/>
  <c r="AA97" i="3"/>
  <c r="A98" i="3"/>
  <c r="B98" i="3" s="1"/>
  <c r="P97" i="3"/>
  <c r="Q97" i="3" s="1"/>
  <c r="R97" i="3" s="1"/>
  <c r="AH26" i="3"/>
  <c r="AG26" i="3"/>
  <c r="U25" i="3"/>
  <c r="E26" i="3" s="1"/>
  <c r="H26" i="3" s="1"/>
  <c r="Y24" i="3"/>
  <c r="T94" i="3"/>
  <c r="S95" i="3"/>
  <c r="D26" i="3" l="1"/>
  <c r="G26" i="3" s="1"/>
  <c r="AA98" i="3"/>
  <c r="AD98" i="3"/>
  <c r="P98" i="3"/>
  <c r="Q98" i="3" s="1"/>
  <c r="R98" i="3" s="1"/>
  <c r="A99" i="3"/>
  <c r="B99" i="3" s="1"/>
  <c r="Z98" i="3"/>
  <c r="AC98" i="3"/>
  <c r="K26" i="3"/>
  <c r="S96" i="3"/>
  <c r="T95" i="3"/>
  <c r="F26" i="3" l="1"/>
  <c r="Z99" i="3"/>
  <c r="A100" i="3"/>
  <c r="B100" i="3" s="1"/>
  <c r="P99" i="3"/>
  <c r="Q99" i="3" s="1"/>
  <c r="R99" i="3" s="1"/>
  <c r="AC99" i="3"/>
  <c r="AA99" i="3"/>
  <c r="AD99" i="3"/>
  <c r="I26" i="3"/>
  <c r="J26" i="3"/>
  <c r="M26" i="3"/>
  <c r="N26" i="3" s="1"/>
  <c r="T96" i="3"/>
  <c r="S97" i="3"/>
  <c r="V26" i="3"/>
  <c r="AE26" i="3"/>
  <c r="W26" i="3" l="1"/>
  <c r="AC100" i="3"/>
  <c r="AA100" i="3"/>
  <c r="Z100" i="3"/>
  <c r="AD100" i="3"/>
  <c r="P100" i="3"/>
  <c r="Q100" i="3" s="1"/>
  <c r="R100" i="3" s="1"/>
  <c r="A101" i="3"/>
  <c r="B101" i="3" s="1"/>
  <c r="S98" i="3"/>
  <c r="T97" i="3"/>
  <c r="L26" i="3"/>
  <c r="AC101" i="3" l="1"/>
  <c r="Z101" i="3"/>
  <c r="P101" i="3"/>
  <c r="Q101" i="3" s="1"/>
  <c r="R101" i="3" s="1"/>
  <c r="A102" i="3"/>
  <c r="B102" i="3" s="1"/>
  <c r="AA101" i="3"/>
  <c r="AD101" i="3"/>
  <c r="AG27" i="3"/>
  <c r="AH27" i="3"/>
  <c r="U26" i="3"/>
  <c r="D27" i="3" s="1"/>
  <c r="Y25" i="3"/>
  <c r="T98" i="3"/>
  <c r="S99" i="3"/>
  <c r="E27" i="3" l="1"/>
  <c r="H27" i="3" s="1"/>
  <c r="K27" i="3" s="1"/>
  <c r="AD102" i="3"/>
  <c r="P102" i="3"/>
  <c r="Q102" i="3" s="1"/>
  <c r="R102" i="3" s="1"/>
  <c r="A103" i="3"/>
  <c r="B103" i="3" s="1"/>
  <c r="Z102" i="3"/>
  <c r="AC102" i="3"/>
  <c r="AA102" i="3"/>
  <c r="G27" i="3"/>
  <c r="S100" i="3"/>
  <c r="T99" i="3"/>
  <c r="F27" i="3" l="1"/>
  <c r="T100" i="3"/>
  <c r="S101" i="3"/>
  <c r="AD103" i="3"/>
  <c r="A104" i="3"/>
  <c r="B104" i="3" s="1"/>
  <c r="Z103" i="3"/>
  <c r="P103" i="3"/>
  <c r="Q103" i="3" s="1"/>
  <c r="R103" i="3" s="1"/>
  <c r="AA103" i="3"/>
  <c r="AC103" i="3"/>
  <c r="I27" i="3"/>
  <c r="J27" i="3"/>
  <c r="M27" i="3"/>
  <c r="N27" i="3" s="1"/>
  <c r="V27" i="3"/>
  <c r="AE27" i="3"/>
  <c r="W27" i="3" l="1"/>
  <c r="AA104" i="3"/>
  <c r="P104" i="3"/>
  <c r="Q104" i="3" s="1"/>
  <c r="R104" i="3" s="1"/>
  <c r="A105" i="3"/>
  <c r="B105" i="3" s="1"/>
  <c r="Z104" i="3"/>
  <c r="AC104" i="3"/>
  <c r="L27" i="3"/>
  <c r="S102" i="3"/>
  <c r="T101" i="3"/>
  <c r="A106" i="3" l="1"/>
  <c r="B106" i="3" s="1"/>
  <c r="AC105" i="3"/>
  <c r="Z105" i="3"/>
  <c r="P105" i="3"/>
  <c r="Q105" i="3" s="1"/>
  <c r="R105" i="3" s="1"/>
  <c r="AD105" i="3"/>
  <c r="AA105" i="3"/>
  <c r="S103" i="3"/>
  <c r="T102" i="3"/>
  <c r="U27" i="3"/>
  <c r="E28" i="3" s="1"/>
  <c r="H28" i="3" s="1"/>
  <c r="AG28" i="3"/>
  <c r="AH28" i="3"/>
  <c r="Y26" i="3"/>
  <c r="D28" i="3" l="1"/>
  <c r="F28" i="3" s="1"/>
  <c r="AA106" i="3"/>
  <c r="AC106" i="3"/>
  <c r="P106" i="3"/>
  <c r="Q106" i="3" s="1"/>
  <c r="R106" i="3" s="1"/>
  <c r="A107" i="3"/>
  <c r="B107" i="3" s="1"/>
  <c r="AD106" i="3"/>
  <c r="Z106" i="3"/>
  <c r="K28" i="3"/>
  <c r="S104" i="3"/>
  <c r="T103" i="3"/>
  <c r="G28" i="3" l="1"/>
  <c r="M28" i="3" s="1"/>
  <c r="N28" i="3" s="1"/>
  <c r="AD107" i="3"/>
  <c r="AC107" i="3"/>
  <c r="P107" i="3"/>
  <c r="Q107" i="3" s="1"/>
  <c r="R107" i="3" s="1"/>
  <c r="Z107" i="3"/>
  <c r="AA107" i="3"/>
  <c r="A108" i="3"/>
  <c r="B108" i="3" s="1"/>
  <c r="T104" i="3"/>
  <c r="S105" i="3"/>
  <c r="V28" i="3"/>
  <c r="AE28" i="3"/>
  <c r="J28" i="3" l="1"/>
  <c r="L28" i="3" s="1"/>
  <c r="I28" i="3"/>
  <c r="W28" i="3" s="1"/>
  <c r="S106" i="3"/>
  <c r="T105" i="3"/>
  <c r="Z108" i="3"/>
  <c r="AC108" i="3"/>
  <c r="P108" i="3"/>
  <c r="Q108" i="3" s="1"/>
  <c r="R108" i="3" s="1"/>
  <c r="AA108" i="3"/>
  <c r="A109" i="3"/>
  <c r="B109" i="3" s="1"/>
  <c r="AD108" i="3"/>
  <c r="A110" i="3" l="1"/>
  <c r="B110" i="3" s="1"/>
  <c r="AD109" i="3"/>
  <c r="AA109" i="3"/>
  <c r="P109" i="3"/>
  <c r="Q109" i="3" s="1"/>
  <c r="R109" i="3" s="1"/>
  <c r="Z109" i="3"/>
  <c r="AC109" i="3"/>
  <c r="U28" i="3"/>
  <c r="E29" i="3" s="1"/>
  <c r="H29" i="3" s="1"/>
  <c r="AG29" i="3"/>
  <c r="AH29" i="3"/>
  <c r="Y27" i="3"/>
  <c r="T106" i="3"/>
  <c r="S107" i="3"/>
  <c r="D29" i="3" l="1"/>
  <c r="F29" i="3" s="1"/>
  <c r="K29" i="3"/>
  <c r="AA110" i="3"/>
  <c r="AC110" i="3"/>
  <c r="A111" i="3"/>
  <c r="B111" i="3" s="1"/>
  <c r="P110" i="3"/>
  <c r="Q110" i="3" s="1"/>
  <c r="R110" i="3" s="1"/>
  <c r="AD110" i="3"/>
  <c r="Z110" i="3"/>
  <c r="T107" i="3"/>
  <c r="S108" i="3"/>
  <c r="G29" i="3" l="1"/>
  <c r="I29" i="3" s="1"/>
  <c r="AD111" i="3"/>
  <c r="Z111" i="3"/>
  <c r="A112" i="3"/>
  <c r="B112" i="3" s="1"/>
  <c r="AC111" i="3"/>
  <c r="P111" i="3"/>
  <c r="Q111" i="3" s="1"/>
  <c r="R111" i="3" s="1"/>
  <c r="AA111" i="3"/>
  <c r="V29" i="3"/>
  <c r="AE29" i="3"/>
  <c r="S109" i="3"/>
  <c r="T108" i="3"/>
  <c r="M29" i="3" l="1"/>
  <c r="N29" i="3" s="1"/>
  <c r="J29" i="3"/>
  <c r="L29" i="3" s="1"/>
  <c r="AC112" i="3"/>
  <c r="AA112" i="3"/>
  <c r="AD112" i="3"/>
  <c r="Z112" i="3"/>
  <c r="P112" i="3"/>
  <c r="Q112" i="3" s="1"/>
  <c r="R112" i="3" s="1"/>
  <c r="A113" i="3"/>
  <c r="B113" i="3" s="1"/>
  <c r="S110" i="3"/>
  <c r="T109" i="3"/>
  <c r="W29" i="3"/>
  <c r="P113" i="3" l="1"/>
  <c r="Q113" i="3" s="1"/>
  <c r="R113" i="3" s="1"/>
  <c r="AA113" i="3"/>
  <c r="A114" i="3"/>
  <c r="B114" i="3" s="1"/>
  <c r="AD113" i="3"/>
  <c r="AC113" i="3"/>
  <c r="Z113" i="3"/>
  <c r="S111" i="3"/>
  <c r="T110" i="3"/>
  <c r="AG30" i="3"/>
  <c r="AH30" i="3"/>
  <c r="U29" i="3"/>
  <c r="D30" i="3" s="1"/>
  <c r="Y28" i="3"/>
  <c r="E30" i="3" l="1"/>
  <c r="H30" i="3" s="1"/>
  <c r="K30" i="3" s="1"/>
  <c r="G30" i="3"/>
  <c r="P114" i="3"/>
  <c r="Q114" i="3" s="1"/>
  <c r="R114" i="3" s="1"/>
  <c r="AD114" i="3"/>
  <c r="AA114" i="3"/>
  <c r="Z114" i="3"/>
  <c r="AC114" i="3"/>
  <c r="A115" i="3"/>
  <c r="B115" i="3" s="1"/>
  <c r="S112" i="3"/>
  <c r="T111" i="3"/>
  <c r="F30" i="3" l="1"/>
  <c r="AC115" i="3"/>
  <c r="AA115" i="3"/>
  <c r="AD115" i="3"/>
  <c r="P115" i="3"/>
  <c r="Q115" i="3" s="1"/>
  <c r="R115" i="3" s="1"/>
  <c r="Z115" i="3"/>
  <c r="A116" i="3"/>
  <c r="B116" i="3" s="1"/>
  <c r="T112" i="3"/>
  <c r="S113" i="3"/>
  <c r="V30" i="3"/>
  <c r="AE30" i="3"/>
  <c r="I30" i="3"/>
  <c r="J30" i="3"/>
  <c r="M30" i="3"/>
  <c r="N30" i="3" s="1"/>
  <c r="AA116" i="3" l="1"/>
  <c r="A117" i="3"/>
  <c r="B117" i="3" s="1"/>
  <c r="Z116" i="3"/>
  <c r="P116" i="3"/>
  <c r="Q116" i="3" s="1"/>
  <c r="R116" i="3" s="1"/>
  <c r="AC116" i="3"/>
  <c r="AD116" i="3"/>
  <c r="T113" i="3"/>
  <c r="S114" i="3"/>
  <c r="W30" i="3"/>
  <c r="L30" i="3"/>
  <c r="T114" i="3" l="1"/>
  <c r="S115" i="3"/>
  <c r="AH31" i="3"/>
  <c r="U30" i="3"/>
  <c r="D31" i="3" s="1"/>
  <c r="AG31" i="3"/>
  <c r="Y29" i="3"/>
  <c r="AC117" i="3"/>
  <c r="Z117" i="3"/>
  <c r="P117" i="3"/>
  <c r="Q117" i="3" s="1"/>
  <c r="R117" i="3" s="1"/>
  <c r="AD117" i="3"/>
  <c r="AA117" i="3"/>
  <c r="A118" i="3"/>
  <c r="B118" i="3" s="1"/>
  <c r="E31" i="3" l="1"/>
  <c r="H31" i="3" s="1"/>
  <c r="K31" i="3" s="1"/>
  <c r="AC118" i="3"/>
  <c r="Z118" i="3"/>
  <c r="AA118" i="3"/>
  <c r="AD118" i="3"/>
  <c r="A119" i="3"/>
  <c r="B119" i="3" s="1"/>
  <c r="P118" i="3"/>
  <c r="Q118" i="3" s="1"/>
  <c r="R118" i="3" s="1"/>
  <c r="G31" i="3"/>
  <c r="S116" i="3"/>
  <c r="T115" i="3"/>
  <c r="F31" i="3" l="1"/>
  <c r="A120" i="3"/>
  <c r="B120" i="3" s="1"/>
  <c r="AD119" i="3"/>
  <c r="AA119" i="3"/>
  <c r="AC119" i="3"/>
  <c r="Z119" i="3"/>
  <c r="P119" i="3"/>
  <c r="Q119" i="3" s="1"/>
  <c r="R119" i="3" s="1"/>
  <c r="S117" i="3"/>
  <c r="T116" i="3"/>
  <c r="V31" i="3"/>
  <c r="AE31" i="3"/>
  <c r="I31" i="3"/>
  <c r="J31" i="3"/>
  <c r="M31" i="3"/>
  <c r="N31" i="3" s="1"/>
  <c r="W31" i="3" l="1"/>
  <c r="AD120" i="3"/>
  <c r="A121" i="3"/>
  <c r="B121" i="3" s="1"/>
  <c r="AC120" i="3"/>
  <c r="P120" i="3"/>
  <c r="Q120" i="3" s="1"/>
  <c r="R120" i="3" s="1"/>
  <c r="AA120" i="3"/>
  <c r="Z120" i="3"/>
  <c r="L31" i="3"/>
  <c r="T117" i="3"/>
  <c r="S118" i="3"/>
  <c r="AH32" i="3" l="1"/>
  <c r="U31" i="3"/>
  <c r="D32" i="3" s="1"/>
  <c r="AG32" i="3"/>
  <c r="Y30" i="3"/>
  <c r="T118" i="3"/>
  <c r="S119" i="3"/>
  <c r="Z121" i="3"/>
  <c r="AD121" i="3"/>
  <c r="AA121" i="3"/>
  <c r="A122" i="3"/>
  <c r="B122" i="3" s="1"/>
  <c r="P121" i="3"/>
  <c r="Q121" i="3" s="1"/>
  <c r="R121" i="3" s="1"/>
  <c r="AC121" i="3"/>
  <c r="E32" i="3" l="1"/>
  <c r="H32" i="3" s="1"/>
  <c r="K32" i="3" s="1"/>
  <c r="G32" i="3"/>
  <c r="AC122" i="3"/>
  <c r="AD122" i="3"/>
  <c r="A123" i="3"/>
  <c r="B123" i="3" s="1"/>
  <c r="Z122" i="3"/>
  <c r="AA122" i="3"/>
  <c r="P122" i="3"/>
  <c r="Q122" i="3" s="1"/>
  <c r="R122" i="3" s="1"/>
  <c r="T119" i="3"/>
  <c r="S120" i="3"/>
  <c r="F32" i="3" l="1"/>
  <c r="V32" i="3"/>
  <c r="AE32" i="3"/>
  <c r="T120" i="3"/>
  <c r="S121" i="3"/>
  <c r="AC123" i="3"/>
  <c r="P123" i="3"/>
  <c r="Q123" i="3" s="1"/>
  <c r="R123" i="3" s="1"/>
  <c r="AD123" i="3"/>
  <c r="A124" i="3"/>
  <c r="B124" i="3" s="1"/>
  <c r="Z123" i="3"/>
  <c r="AA123" i="3"/>
  <c r="I32" i="3"/>
  <c r="J32" i="3"/>
  <c r="M32" i="3"/>
  <c r="N32" i="3" s="1"/>
  <c r="Z124" i="3" l="1"/>
  <c r="AD124" i="3"/>
  <c r="A125" i="3"/>
  <c r="B125" i="3" s="1"/>
  <c r="AC124" i="3"/>
  <c r="AA124" i="3"/>
  <c r="P124" i="3"/>
  <c r="Q124" i="3" s="1"/>
  <c r="R124" i="3" s="1"/>
  <c r="T121" i="3"/>
  <c r="S122" i="3"/>
  <c r="W32" i="3"/>
  <c r="L32" i="3"/>
  <c r="U32" i="3" l="1"/>
  <c r="E33" i="3" s="1"/>
  <c r="H33" i="3" s="1"/>
  <c r="AH33" i="3"/>
  <c r="AG33" i="3"/>
  <c r="Y31" i="3"/>
  <c r="AC125" i="3"/>
  <c r="Z125" i="3"/>
  <c r="P125" i="3"/>
  <c r="Q125" i="3" s="1"/>
  <c r="R125" i="3" s="1"/>
  <c r="AD125" i="3"/>
  <c r="AA125" i="3"/>
  <c r="A126" i="3"/>
  <c r="B126" i="3" s="1"/>
  <c r="S123" i="3"/>
  <c r="T122" i="3"/>
  <c r="D33" i="3" l="1"/>
  <c r="F33" i="3" s="1"/>
  <c r="Z126" i="3"/>
  <c r="AC126" i="3"/>
  <c r="A127" i="3"/>
  <c r="B127" i="3" s="1"/>
  <c r="P126" i="3"/>
  <c r="Q126" i="3" s="1"/>
  <c r="R126" i="3" s="1"/>
  <c r="AA126" i="3"/>
  <c r="AD126" i="3"/>
  <c r="S124" i="3"/>
  <c r="T123" i="3"/>
  <c r="K33" i="3"/>
  <c r="G33" i="3" l="1"/>
  <c r="I33" i="3" s="1"/>
  <c r="AD127" i="3"/>
  <c r="AC127" i="3"/>
  <c r="Z127" i="3"/>
  <c r="P127" i="3"/>
  <c r="Q127" i="3" s="1"/>
  <c r="R127" i="3" s="1"/>
  <c r="A128" i="3"/>
  <c r="B128" i="3" s="1"/>
  <c r="AA127" i="3"/>
  <c r="V33" i="3"/>
  <c r="AE33" i="3"/>
  <c r="S125" i="3"/>
  <c r="T124" i="3"/>
  <c r="M33" i="3" l="1"/>
  <c r="N33" i="3" s="1"/>
  <c r="J33" i="3"/>
  <c r="L33" i="3" s="1"/>
  <c r="W33" i="3"/>
  <c r="AC128" i="3"/>
  <c r="Z128" i="3"/>
  <c r="AD128" i="3"/>
  <c r="AA128" i="3"/>
  <c r="A129" i="3"/>
  <c r="B129" i="3" s="1"/>
  <c r="P128" i="3"/>
  <c r="Q128" i="3" s="1"/>
  <c r="R128" i="3" s="1"/>
  <c r="T125" i="3"/>
  <c r="S126" i="3"/>
  <c r="AD129" i="3" l="1"/>
  <c r="AA129" i="3"/>
  <c r="P129" i="3"/>
  <c r="Q129" i="3" s="1"/>
  <c r="R129" i="3" s="1"/>
  <c r="A130" i="3"/>
  <c r="B130" i="3" s="1"/>
  <c r="Z129" i="3"/>
  <c r="AC129" i="3"/>
  <c r="T126" i="3"/>
  <c r="S127" i="3"/>
  <c r="AH34" i="3"/>
  <c r="AG34" i="3"/>
  <c r="U33" i="3"/>
  <c r="E34" i="3" s="1"/>
  <c r="H34" i="3" s="1"/>
  <c r="Y32" i="3"/>
  <c r="D34" i="3" l="1"/>
  <c r="F34" i="3" s="1"/>
  <c r="AA130" i="3"/>
  <c r="Z130" i="3"/>
  <c r="A131" i="3"/>
  <c r="B131" i="3" s="1"/>
  <c r="P130" i="3"/>
  <c r="Q130" i="3" s="1"/>
  <c r="R130" i="3" s="1"/>
  <c r="AC130" i="3"/>
  <c r="AD130" i="3"/>
  <c r="K34" i="3"/>
  <c r="T127" i="3"/>
  <c r="S128" i="3"/>
  <c r="G34" i="3" l="1"/>
  <c r="I34" i="3" s="1"/>
  <c r="Z131" i="3"/>
  <c r="P131" i="3"/>
  <c r="Q131" i="3" s="1"/>
  <c r="R131" i="3" s="1"/>
  <c r="AC131" i="3"/>
  <c r="A132" i="3"/>
  <c r="B132" i="3" s="1"/>
  <c r="AD131" i="3"/>
  <c r="AA131" i="3"/>
  <c r="S129" i="3"/>
  <c r="T128" i="3"/>
  <c r="V34" i="3"/>
  <c r="AE34" i="3"/>
  <c r="M34" i="3" l="1"/>
  <c r="N34" i="3" s="1"/>
  <c r="J34" i="3"/>
  <c r="L34" i="3" s="1"/>
  <c r="W34" i="3"/>
  <c r="P132" i="3"/>
  <c r="Q132" i="3" s="1"/>
  <c r="R132" i="3" s="1"/>
  <c r="AD132" i="3"/>
  <c r="AC132" i="3"/>
  <c r="Z132" i="3"/>
  <c r="A133" i="3"/>
  <c r="B133" i="3" s="1"/>
  <c r="AA132" i="3"/>
  <c r="S130" i="3"/>
  <c r="T129" i="3"/>
  <c r="AC133" i="3" l="1"/>
  <c r="AD133" i="3"/>
  <c r="P133" i="3"/>
  <c r="Q133" i="3" s="1"/>
  <c r="R133" i="3" s="1"/>
  <c r="Z133" i="3"/>
  <c r="A134" i="3"/>
  <c r="B134" i="3" s="1"/>
  <c r="AA133" i="3"/>
  <c r="T130" i="3"/>
  <c r="S131" i="3"/>
  <c r="U34" i="3"/>
  <c r="E35" i="3" s="1"/>
  <c r="H35" i="3" s="1"/>
  <c r="AH35" i="3"/>
  <c r="AG35" i="3"/>
  <c r="Y33" i="3"/>
  <c r="D35" i="3" l="1"/>
  <c r="F35" i="3" s="1"/>
  <c r="AA134" i="3"/>
  <c r="AD134" i="3"/>
  <c r="A135" i="3"/>
  <c r="B135" i="3" s="1"/>
  <c r="Z134" i="3"/>
  <c r="AC134" i="3"/>
  <c r="P134" i="3"/>
  <c r="Q134" i="3" s="1"/>
  <c r="R134" i="3" s="1"/>
  <c r="K35" i="3"/>
  <c r="T131" i="3"/>
  <c r="S132" i="3"/>
  <c r="G35" i="3" l="1"/>
  <c r="M35" i="3" s="1"/>
  <c r="N35" i="3" s="1"/>
  <c r="AC135" i="3"/>
  <c r="Z135" i="3"/>
  <c r="P135" i="3"/>
  <c r="Q135" i="3" s="1"/>
  <c r="R135" i="3" s="1"/>
  <c r="AD135" i="3"/>
  <c r="A136" i="3"/>
  <c r="B136" i="3" s="1"/>
  <c r="AA135" i="3"/>
  <c r="T132" i="3"/>
  <c r="S133" i="3"/>
  <c r="V35" i="3"/>
  <c r="AE35" i="3"/>
  <c r="J35" i="3" l="1"/>
  <c r="L35" i="3" s="1"/>
  <c r="I35" i="3"/>
  <c r="W35" i="3" s="1"/>
  <c r="AA136" i="3"/>
  <c r="Z136" i="3"/>
  <c r="P136" i="3"/>
  <c r="Q136" i="3" s="1"/>
  <c r="R136" i="3" s="1"/>
  <c r="AD136" i="3"/>
  <c r="AC136" i="3"/>
  <c r="A137" i="3"/>
  <c r="B137" i="3" s="1"/>
  <c r="T133" i="3"/>
  <c r="S134" i="3"/>
  <c r="AA137" i="3" l="1"/>
  <c r="Z137" i="3"/>
  <c r="AD137" i="3"/>
  <c r="P137" i="3"/>
  <c r="Q137" i="3" s="1"/>
  <c r="R137" i="3" s="1"/>
  <c r="AC137" i="3"/>
  <c r="A138" i="3"/>
  <c r="B138" i="3" s="1"/>
  <c r="T134" i="3"/>
  <c r="S135" i="3"/>
  <c r="AG36" i="3"/>
  <c r="AH36" i="3"/>
  <c r="U35" i="3"/>
  <c r="E36" i="3" s="1"/>
  <c r="H36" i="3" s="1"/>
  <c r="Y34" i="3"/>
  <c r="D36" i="3" l="1"/>
  <c r="F36" i="3" s="1"/>
  <c r="K36" i="3"/>
  <c r="AA138" i="3"/>
  <c r="AC138" i="3"/>
  <c r="AD138" i="3"/>
  <c r="Z138" i="3"/>
  <c r="A139" i="3"/>
  <c r="B139" i="3" s="1"/>
  <c r="P138" i="3"/>
  <c r="Q138" i="3" s="1"/>
  <c r="R138" i="3" s="1"/>
  <c r="S136" i="3"/>
  <c r="T135" i="3"/>
  <c r="G36" i="3" l="1"/>
  <c r="I36" i="3" s="1"/>
  <c r="T136" i="3"/>
  <c r="S137" i="3"/>
  <c r="A140" i="3"/>
  <c r="B140" i="3" s="1"/>
  <c r="P139" i="3"/>
  <c r="Q139" i="3" s="1"/>
  <c r="R139" i="3" s="1"/>
  <c r="AD139" i="3"/>
  <c r="AC139" i="3"/>
  <c r="Z139" i="3"/>
  <c r="AA139" i="3"/>
  <c r="V36" i="3"/>
  <c r="AE36" i="3"/>
  <c r="M36" i="3" l="1"/>
  <c r="N36" i="3" s="1"/>
  <c r="J36" i="3"/>
  <c r="L36" i="3" s="1"/>
  <c r="W36" i="3"/>
  <c r="AC140" i="3"/>
  <c r="P140" i="3"/>
  <c r="Q140" i="3" s="1"/>
  <c r="R140" i="3" s="1"/>
  <c r="AA140" i="3"/>
  <c r="AD140" i="3"/>
  <c r="Z140" i="3"/>
  <c r="A141" i="3"/>
  <c r="B141" i="3" s="1"/>
  <c r="T137" i="3"/>
  <c r="S138" i="3"/>
  <c r="P141" i="3" l="1"/>
  <c r="Q141" i="3" s="1"/>
  <c r="R141" i="3" s="1"/>
  <c r="AD141" i="3"/>
  <c r="AC141" i="3"/>
  <c r="Z141" i="3"/>
  <c r="A142" i="3"/>
  <c r="B142" i="3" s="1"/>
  <c r="AA141" i="3"/>
  <c r="AH37" i="3"/>
  <c r="U36" i="3"/>
  <c r="E37" i="3" s="1"/>
  <c r="H37" i="3" s="1"/>
  <c r="AG37" i="3"/>
  <c r="Y35" i="3"/>
  <c r="T138" i="3"/>
  <c r="S139" i="3"/>
  <c r="D37" i="3" l="1"/>
  <c r="G37" i="3" s="1"/>
  <c r="AC142" i="3"/>
  <c r="AA142" i="3"/>
  <c r="AD142" i="3"/>
  <c r="Z142" i="3"/>
  <c r="P142" i="3"/>
  <c r="Q142" i="3" s="1"/>
  <c r="R142" i="3" s="1"/>
  <c r="A143" i="3"/>
  <c r="B143" i="3" s="1"/>
  <c r="K37" i="3"/>
  <c r="S140" i="3"/>
  <c r="T139" i="3"/>
  <c r="F37" i="3" l="1"/>
  <c r="AD143" i="3"/>
  <c r="AA143" i="3"/>
  <c r="Z143" i="3"/>
  <c r="A144" i="3"/>
  <c r="B144" i="3" s="1"/>
  <c r="P143" i="3"/>
  <c r="Q143" i="3" s="1"/>
  <c r="R143" i="3" s="1"/>
  <c r="AC143" i="3"/>
  <c r="S141" i="3"/>
  <c r="T140" i="3"/>
  <c r="I37" i="3"/>
  <c r="J37" i="3"/>
  <c r="M37" i="3"/>
  <c r="N37" i="3" s="1"/>
  <c r="V37" i="3"/>
  <c r="AE37" i="3"/>
  <c r="W37" i="3" l="1"/>
  <c r="AC144" i="3"/>
  <c r="AD144" i="3"/>
  <c r="P144" i="3"/>
  <c r="Q144" i="3" s="1"/>
  <c r="R144" i="3" s="1"/>
  <c r="Z144" i="3"/>
  <c r="AA144" i="3"/>
  <c r="A145" i="3"/>
  <c r="B145" i="3" s="1"/>
  <c r="L37" i="3"/>
  <c r="S142" i="3"/>
  <c r="T141" i="3"/>
  <c r="A146" i="3" l="1"/>
  <c r="B146" i="3" s="1"/>
  <c r="Z145" i="3"/>
  <c r="AA145" i="3"/>
  <c r="AC145" i="3"/>
  <c r="AD145" i="3"/>
  <c r="P145" i="3"/>
  <c r="Q145" i="3" s="1"/>
  <c r="R145" i="3" s="1"/>
  <c r="S143" i="3"/>
  <c r="T142" i="3"/>
  <c r="AG38" i="3"/>
  <c r="U37" i="3"/>
  <c r="D38" i="3" s="1"/>
  <c r="AH38" i="3"/>
  <c r="Y36" i="3"/>
  <c r="E38" i="3" l="1"/>
  <c r="H38" i="3" s="1"/>
  <c r="K38" i="3" s="1"/>
  <c r="G38" i="3"/>
  <c r="P146" i="3"/>
  <c r="Q146" i="3" s="1"/>
  <c r="R146" i="3" s="1"/>
  <c r="AA146" i="3"/>
  <c r="AC146" i="3"/>
  <c r="Z146" i="3"/>
  <c r="AD146" i="3"/>
  <c r="A147" i="3"/>
  <c r="B147" i="3" s="1"/>
  <c r="T143" i="3"/>
  <c r="S144" i="3"/>
  <c r="F38" i="3" l="1"/>
  <c r="T144" i="3"/>
  <c r="S145" i="3"/>
  <c r="V38" i="3"/>
  <c r="AE38" i="3"/>
  <c r="AD147" i="3"/>
  <c r="AA147" i="3"/>
  <c r="Z147" i="3"/>
  <c r="A148" i="3"/>
  <c r="B148" i="3" s="1"/>
  <c r="P147" i="3"/>
  <c r="Q147" i="3" s="1"/>
  <c r="R147" i="3" s="1"/>
  <c r="AC147" i="3"/>
  <c r="I38" i="3"/>
  <c r="J38" i="3"/>
  <c r="M38" i="3"/>
  <c r="N38" i="3" s="1"/>
  <c r="W38" i="3" l="1"/>
  <c r="P148" i="3"/>
  <c r="Q148" i="3" s="1"/>
  <c r="R148" i="3" s="1"/>
  <c r="AD148" i="3"/>
  <c r="A149" i="3"/>
  <c r="B149" i="3" s="1"/>
  <c r="Z148" i="3"/>
  <c r="AA148" i="3"/>
  <c r="AC148" i="3"/>
  <c r="S146" i="3"/>
  <c r="T145" i="3"/>
  <c r="L38" i="3"/>
  <c r="Z149" i="3" l="1"/>
  <c r="A150" i="3"/>
  <c r="B150" i="3" s="1"/>
  <c r="AD149" i="3"/>
  <c r="AA149" i="3"/>
  <c r="AC149" i="3"/>
  <c r="P149" i="3"/>
  <c r="Q149" i="3" s="1"/>
  <c r="R149" i="3" s="1"/>
  <c r="U38" i="3"/>
  <c r="D39" i="3" s="1"/>
  <c r="AG39" i="3"/>
  <c r="AH39" i="3"/>
  <c r="Y37" i="3"/>
  <c r="T146" i="3"/>
  <c r="S147" i="3"/>
  <c r="E39" i="3" l="1"/>
  <c r="H39" i="3" s="1"/>
  <c r="K39" i="3" s="1"/>
  <c r="P150" i="3"/>
  <c r="Q150" i="3" s="1"/>
  <c r="R150" i="3" s="1"/>
  <c r="AA150" i="3"/>
  <c r="AC150" i="3"/>
  <c r="A151" i="3"/>
  <c r="B151" i="3" s="1"/>
  <c r="AD150" i="3"/>
  <c r="Z150" i="3"/>
  <c r="G39" i="3"/>
  <c r="S148" i="3"/>
  <c r="T147" i="3"/>
  <c r="F39" i="3" l="1"/>
  <c r="P151" i="3"/>
  <c r="Q151" i="3" s="1"/>
  <c r="R151" i="3" s="1"/>
  <c r="AC151" i="3"/>
  <c r="AD151" i="3"/>
  <c r="AA151" i="3"/>
  <c r="Z151" i="3"/>
  <c r="A152" i="3"/>
  <c r="B152" i="3" s="1"/>
  <c r="I39" i="3"/>
  <c r="J39" i="3"/>
  <c r="M39" i="3"/>
  <c r="N39" i="3" s="1"/>
  <c r="V39" i="3"/>
  <c r="AE39" i="3"/>
  <c r="T148" i="3"/>
  <c r="S149" i="3"/>
  <c r="W39" i="3" l="1"/>
  <c r="P152" i="3"/>
  <c r="Q152" i="3" s="1"/>
  <c r="R152" i="3" s="1"/>
  <c r="AC152" i="3"/>
  <c r="AA152" i="3"/>
  <c r="AD152" i="3"/>
  <c r="A153" i="3"/>
  <c r="B153" i="3" s="1"/>
  <c r="Z152" i="3"/>
  <c r="L39" i="3"/>
  <c r="T149" i="3"/>
  <c r="S150" i="3"/>
  <c r="AC153" i="3" l="1"/>
  <c r="A154" i="3"/>
  <c r="B154" i="3" s="1"/>
  <c r="Z153" i="3"/>
  <c r="AD153" i="3"/>
  <c r="P153" i="3"/>
  <c r="Q153" i="3" s="1"/>
  <c r="R153" i="3" s="1"/>
  <c r="AA153" i="3"/>
  <c r="AH40" i="3"/>
  <c r="AG40" i="3"/>
  <c r="U39" i="3"/>
  <c r="E40" i="3" s="1"/>
  <c r="H40" i="3" s="1"/>
  <c r="Y38" i="3"/>
  <c r="S151" i="3"/>
  <c r="T150" i="3"/>
  <c r="D40" i="3" l="1"/>
  <c r="F40" i="3" s="1"/>
  <c r="K40" i="3"/>
  <c r="S152" i="3"/>
  <c r="T151" i="3"/>
  <c r="AC154" i="3"/>
  <c r="P154" i="3"/>
  <c r="Q154" i="3" s="1"/>
  <c r="R154" i="3" s="1"/>
  <c r="AA154" i="3"/>
  <c r="Z154" i="3"/>
  <c r="A155" i="3"/>
  <c r="B155" i="3" s="1"/>
  <c r="AD154" i="3"/>
  <c r="G40" i="3" l="1"/>
  <c r="M40" i="3" s="1"/>
  <c r="N40" i="3" s="1"/>
  <c r="A156" i="3"/>
  <c r="B156" i="3" s="1"/>
  <c r="AD155" i="3"/>
  <c r="P155" i="3"/>
  <c r="Q155" i="3" s="1"/>
  <c r="R155" i="3" s="1"/>
  <c r="AC155" i="3"/>
  <c r="AA155" i="3"/>
  <c r="Z155" i="3"/>
  <c r="T152" i="3"/>
  <c r="S153" i="3"/>
  <c r="V40" i="3"/>
  <c r="AE40" i="3"/>
  <c r="I40" i="3" l="1"/>
  <c r="W40" i="3" s="1"/>
  <c r="J40" i="3"/>
  <c r="L40" i="3" s="1"/>
  <c r="AC156" i="3"/>
  <c r="P156" i="3"/>
  <c r="Q156" i="3" s="1"/>
  <c r="R156" i="3" s="1"/>
  <c r="AD156" i="3"/>
  <c r="Z156" i="3"/>
  <c r="A157" i="3"/>
  <c r="B157" i="3" s="1"/>
  <c r="AA156" i="3"/>
  <c r="S154" i="3"/>
  <c r="T153" i="3"/>
  <c r="A158" i="3" l="1"/>
  <c r="B158" i="3" s="1"/>
  <c r="P157" i="3"/>
  <c r="Q157" i="3" s="1"/>
  <c r="R157" i="3" s="1"/>
  <c r="AD157" i="3"/>
  <c r="Z157" i="3"/>
  <c r="AC157" i="3"/>
  <c r="AA157" i="3"/>
  <c r="AG41" i="3"/>
  <c r="AH41" i="3"/>
  <c r="U40" i="3"/>
  <c r="D41" i="3" s="1"/>
  <c r="Y39" i="3"/>
  <c r="T154" i="3"/>
  <c r="S155" i="3"/>
  <c r="E41" i="3" l="1"/>
  <c r="H41" i="3" s="1"/>
  <c r="K41" i="3" s="1"/>
  <c r="G41" i="3"/>
  <c r="P158" i="3"/>
  <c r="Q158" i="3" s="1"/>
  <c r="R158" i="3" s="1"/>
  <c r="AD158" i="3"/>
  <c r="A159" i="3"/>
  <c r="B159" i="3" s="1"/>
  <c r="AA158" i="3"/>
  <c r="Z158" i="3"/>
  <c r="AC158" i="3"/>
  <c r="S156" i="3"/>
  <c r="T155" i="3"/>
  <c r="F41" i="3" l="1"/>
  <c r="AD159" i="3"/>
  <c r="Z159" i="3"/>
  <c r="AA159" i="3"/>
  <c r="P159" i="3"/>
  <c r="Q159" i="3" s="1"/>
  <c r="R159" i="3" s="1"/>
  <c r="A160" i="3"/>
  <c r="B160" i="3" s="1"/>
  <c r="AC159" i="3"/>
  <c r="S157" i="3"/>
  <c r="T156" i="3"/>
  <c r="V41" i="3"/>
  <c r="AE41" i="3"/>
  <c r="I41" i="3"/>
  <c r="J41" i="3"/>
  <c r="M41" i="3"/>
  <c r="N41" i="3" s="1"/>
  <c r="A161" i="3" l="1"/>
  <c r="B161" i="3" s="1"/>
  <c r="P160" i="3"/>
  <c r="Q160" i="3" s="1"/>
  <c r="R160" i="3" s="1"/>
  <c r="AA160" i="3"/>
  <c r="AC160" i="3"/>
  <c r="Z160" i="3"/>
  <c r="AD160" i="3"/>
  <c r="W41" i="3"/>
  <c r="L41" i="3"/>
  <c r="S158" i="3"/>
  <c r="T157" i="3"/>
  <c r="A162" i="3" l="1"/>
  <c r="B162" i="3" s="1"/>
  <c r="AA161" i="3"/>
  <c r="Z161" i="3"/>
  <c r="AC161" i="3"/>
  <c r="AD161" i="3"/>
  <c r="P161" i="3"/>
  <c r="Q161" i="3" s="1"/>
  <c r="R161" i="3" s="1"/>
  <c r="T158" i="3"/>
  <c r="S159" i="3"/>
  <c r="AH42" i="3"/>
  <c r="U41" i="3"/>
  <c r="E42" i="3" s="1"/>
  <c r="H42" i="3" s="1"/>
  <c r="AG42" i="3"/>
  <c r="Y40" i="3"/>
  <c r="D42" i="3" l="1"/>
  <c r="F42" i="3" s="1"/>
  <c r="K42" i="3"/>
  <c r="A163" i="3"/>
  <c r="B163" i="3" s="1"/>
  <c r="Z162" i="3"/>
  <c r="AD162" i="3"/>
  <c r="AC162" i="3"/>
  <c r="AA162" i="3"/>
  <c r="P162" i="3"/>
  <c r="Q162" i="3" s="1"/>
  <c r="R162" i="3" s="1"/>
  <c r="S160" i="3"/>
  <c r="T159" i="3"/>
  <c r="G42" i="3" l="1"/>
  <c r="M42" i="3" s="1"/>
  <c r="N42" i="3" s="1"/>
  <c r="T160" i="3"/>
  <c r="S161" i="3"/>
  <c r="P163" i="3"/>
  <c r="Q163" i="3" s="1"/>
  <c r="R163" i="3" s="1"/>
  <c r="AC163" i="3"/>
  <c r="A164" i="3"/>
  <c r="B164" i="3" s="1"/>
  <c r="AA163" i="3"/>
  <c r="AD163" i="3"/>
  <c r="Z163" i="3"/>
  <c r="V42" i="3"/>
  <c r="AE42" i="3"/>
  <c r="J42" i="3" l="1"/>
  <c r="L42" i="3" s="1"/>
  <c r="I42" i="3"/>
  <c r="W42" i="3" s="1"/>
  <c r="AD164" i="3"/>
  <c r="AA164" i="3"/>
  <c r="Z164" i="3"/>
  <c r="A165" i="3"/>
  <c r="B165" i="3" s="1"/>
  <c r="AC164" i="3"/>
  <c r="P164" i="3"/>
  <c r="Q164" i="3" s="1"/>
  <c r="R164" i="3" s="1"/>
  <c r="T161" i="3"/>
  <c r="S162" i="3"/>
  <c r="AD165" i="3" l="1"/>
  <c r="A166" i="3"/>
  <c r="B166" i="3" s="1"/>
  <c r="AA165" i="3"/>
  <c r="AC165" i="3"/>
  <c r="Z165" i="3"/>
  <c r="P165" i="3"/>
  <c r="Q165" i="3" s="1"/>
  <c r="R165" i="3" s="1"/>
  <c r="T162" i="3"/>
  <c r="S163" i="3"/>
  <c r="AG43" i="3"/>
  <c r="AH43" i="3"/>
  <c r="U42" i="3"/>
  <c r="D43" i="3" s="1"/>
  <c r="Y41" i="3"/>
  <c r="E43" i="3" l="1"/>
  <c r="H43" i="3" s="1"/>
  <c r="K43" i="3" s="1"/>
  <c r="AD166" i="3"/>
  <c r="AC166" i="3"/>
  <c r="AA166" i="3"/>
  <c r="Z166" i="3"/>
  <c r="A167" i="3"/>
  <c r="B167" i="3" s="1"/>
  <c r="P166" i="3"/>
  <c r="Q166" i="3" s="1"/>
  <c r="R166" i="3" s="1"/>
  <c r="S164" i="3"/>
  <c r="T163" i="3"/>
  <c r="G43" i="3"/>
  <c r="F43" i="3" l="1"/>
  <c r="AD167" i="3"/>
  <c r="P167" i="3"/>
  <c r="Q167" i="3" s="1"/>
  <c r="R167" i="3" s="1"/>
  <c r="A168" i="3"/>
  <c r="B168" i="3" s="1"/>
  <c r="AA167" i="3"/>
  <c r="AC167" i="3"/>
  <c r="Z167" i="3"/>
  <c r="T164" i="3"/>
  <c r="S165" i="3"/>
  <c r="V43" i="3"/>
  <c r="AE43" i="3"/>
  <c r="I43" i="3"/>
  <c r="J43" i="3"/>
  <c r="M43" i="3"/>
  <c r="N43" i="3" s="1"/>
  <c r="W43" i="3" l="1"/>
  <c r="AD168" i="3"/>
  <c r="AC168" i="3"/>
  <c r="P168" i="3"/>
  <c r="Q168" i="3" s="1"/>
  <c r="R168" i="3" s="1"/>
  <c r="AA168" i="3"/>
  <c r="A169" i="3"/>
  <c r="B169" i="3" s="1"/>
  <c r="Z168" i="3"/>
  <c r="S166" i="3"/>
  <c r="T165" i="3"/>
  <c r="L43" i="3"/>
  <c r="AC169" i="3" l="1"/>
  <c r="P169" i="3"/>
  <c r="Q169" i="3" s="1"/>
  <c r="R169" i="3" s="1"/>
  <c r="AD169" i="3"/>
  <c r="Z169" i="3"/>
  <c r="AA169" i="3"/>
  <c r="A170" i="3"/>
  <c r="B170" i="3" s="1"/>
  <c r="AG44" i="3"/>
  <c r="AH44" i="3"/>
  <c r="U43" i="3"/>
  <c r="D44" i="3" s="1"/>
  <c r="Y42" i="3"/>
  <c r="T166" i="3"/>
  <c r="S167" i="3"/>
  <c r="E44" i="3" l="1"/>
  <c r="H44" i="3" s="1"/>
  <c r="K44" i="3" s="1"/>
  <c r="A171" i="3"/>
  <c r="B171" i="3" s="1"/>
  <c r="P170" i="3"/>
  <c r="Q170" i="3" s="1"/>
  <c r="R170" i="3" s="1"/>
  <c r="AA170" i="3"/>
  <c r="Z170" i="3"/>
  <c r="AD170" i="3"/>
  <c r="AC170" i="3"/>
  <c r="G44" i="3"/>
  <c r="T167" i="3"/>
  <c r="S168" i="3"/>
  <c r="F44" i="3" l="1"/>
  <c r="P171" i="3"/>
  <c r="Q171" i="3" s="1"/>
  <c r="R171" i="3" s="1"/>
  <c r="Z171" i="3"/>
  <c r="AD171" i="3"/>
  <c r="AC171" i="3"/>
  <c r="AA171" i="3"/>
  <c r="A172" i="3"/>
  <c r="B172" i="3" s="1"/>
  <c r="I44" i="3"/>
  <c r="J44" i="3"/>
  <c r="M44" i="3"/>
  <c r="N44" i="3" s="1"/>
  <c r="V44" i="3"/>
  <c r="AE44" i="3"/>
  <c r="T168" i="3"/>
  <c r="S169" i="3"/>
  <c r="W44" i="3" l="1"/>
  <c r="L44" i="3"/>
  <c r="AC172" i="3"/>
  <c r="AD172" i="3"/>
  <c r="Z172" i="3"/>
  <c r="A173" i="3"/>
  <c r="B173" i="3" s="1"/>
  <c r="AA172" i="3"/>
  <c r="P172" i="3"/>
  <c r="Q172" i="3" s="1"/>
  <c r="R172" i="3" s="1"/>
  <c r="S170" i="3"/>
  <c r="T169" i="3"/>
  <c r="AC173" i="3" l="1"/>
  <c r="AA173" i="3"/>
  <c r="A174" i="3"/>
  <c r="B174" i="3" s="1"/>
  <c r="P173" i="3"/>
  <c r="Q173" i="3" s="1"/>
  <c r="R173" i="3" s="1"/>
  <c r="AD173" i="3"/>
  <c r="Z173" i="3"/>
  <c r="S171" i="3"/>
  <c r="T170" i="3"/>
  <c r="U44" i="3"/>
  <c r="D45" i="3" s="1"/>
  <c r="AH45" i="3"/>
  <c r="AG45" i="3"/>
  <c r="Y43" i="3"/>
  <c r="E45" i="3" l="1"/>
  <c r="H45" i="3" s="1"/>
  <c r="K45" i="3" s="1"/>
  <c r="G45" i="3"/>
  <c r="AC174" i="3"/>
  <c r="AD174" i="3"/>
  <c r="AA174" i="3"/>
  <c r="P174" i="3"/>
  <c r="Q174" i="3" s="1"/>
  <c r="R174" i="3" s="1"/>
  <c r="Z174" i="3"/>
  <c r="A175" i="3"/>
  <c r="B175" i="3" s="1"/>
  <c r="S172" i="3"/>
  <c r="T171" i="3"/>
  <c r="F45" i="3" l="1"/>
  <c r="S173" i="3"/>
  <c r="T172" i="3"/>
  <c r="Z175" i="3"/>
  <c r="A176" i="3"/>
  <c r="B176" i="3" s="1"/>
  <c r="P175" i="3"/>
  <c r="Q175" i="3" s="1"/>
  <c r="R175" i="3" s="1"/>
  <c r="AD175" i="3"/>
  <c r="AA175" i="3"/>
  <c r="AC175" i="3"/>
  <c r="V45" i="3"/>
  <c r="AE45" i="3"/>
  <c r="I45" i="3"/>
  <c r="J45" i="3"/>
  <c r="M45" i="3"/>
  <c r="N45" i="3" s="1"/>
  <c r="W45" i="3" l="1"/>
  <c r="A177" i="3"/>
  <c r="B177" i="3" s="1"/>
  <c r="AA176" i="3"/>
  <c r="Z176" i="3"/>
  <c r="AC176" i="3"/>
  <c r="AD176" i="3"/>
  <c r="P176" i="3"/>
  <c r="Q176" i="3" s="1"/>
  <c r="R176" i="3" s="1"/>
  <c r="L45" i="3"/>
  <c r="S174" i="3"/>
  <c r="T173" i="3"/>
  <c r="P177" i="3" l="1"/>
  <c r="Q177" i="3" s="1"/>
  <c r="R177" i="3" s="1"/>
  <c r="A178" i="3"/>
  <c r="B178" i="3" s="1"/>
  <c r="AC177" i="3"/>
  <c r="AA177" i="3"/>
  <c r="AD177" i="3"/>
  <c r="Z177" i="3"/>
  <c r="T174" i="3"/>
  <c r="S175" i="3"/>
  <c r="U45" i="3"/>
  <c r="D46" i="3" s="1"/>
  <c r="AH46" i="3"/>
  <c r="AG46" i="3"/>
  <c r="Y44" i="3"/>
  <c r="E46" i="3" l="1"/>
  <c r="H46" i="3" s="1"/>
  <c r="K46" i="3" s="1"/>
  <c r="AC178" i="3"/>
  <c r="AD178" i="3"/>
  <c r="Z178" i="3"/>
  <c r="P178" i="3"/>
  <c r="Q178" i="3" s="1"/>
  <c r="R178" i="3" s="1"/>
  <c r="A179" i="3"/>
  <c r="B179" i="3" s="1"/>
  <c r="AA178" i="3"/>
  <c r="G46" i="3"/>
  <c r="S176" i="3"/>
  <c r="T175" i="3"/>
  <c r="F46" i="3" l="1"/>
  <c r="AA179" i="3"/>
  <c r="AC179" i="3"/>
  <c r="P179" i="3"/>
  <c r="Q179" i="3" s="1"/>
  <c r="R179" i="3" s="1"/>
  <c r="Z179" i="3"/>
  <c r="A180" i="3"/>
  <c r="B180" i="3" s="1"/>
  <c r="AD179" i="3"/>
  <c r="V46" i="3"/>
  <c r="AE46" i="3"/>
  <c r="T176" i="3"/>
  <c r="S177" i="3"/>
  <c r="I46" i="3"/>
  <c r="J46" i="3"/>
  <c r="M46" i="3"/>
  <c r="N46" i="3" s="1"/>
  <c r="AC180" i="3" l="1"/>
  <c r="A181" i="3"/>
  <c r="B181" i="3" s="1"/>
  <c r="AD180" i="3"/>
  <c r="P180" i="3"/>
  <c r="Q180" i="3" s="1"/>
  <c r="R180" i="3" s="1"/>
  <c r="Z180" i="3"/>
  <c r="AA180" i="3"/>
  <c r="S178" i="3"/>
  <c r="T177" i="3"/>
  <c r="L46" i="3"/>
  <c r="W46" i="3"/>
  <c r="AH47" i="3" l="1"/>
  <c r="U46" i="3"/>
  <c r="E47" i="3" s="1"/>
  <c r="H47" i="3" s="1"/>
  <c r="AG47" i="3"/>
  <c r="Y45" i="3"/>
  <c r="A182" i="3"/>
  <c r="B182" i="3" s="1"/>
  <c r="AD181" i="3"/>
  <c r="AA181" i="3"/>
  <c r="Z181" i="3"/>
  <c r="AC181" i="3"/>
  <c r="P181" i="3"/>
  <c r="Q181" i="3" s="1"/>
  <c r="R181" i="3" s="1"/>
  <c r="T178" i="3"/>
  <c r="S179" i="3"/>
  <c r="D47" i="3" l="1"/>
  <c r="G47" i="3" s="1"/>
  <c r="AC182" i="3"/>
  <c r="A183" i="3"/>
  <c r="B183" i="3" s="1"/>
  <c r="Z182" i="3"/>
  <c r="AD182" i="3"/>
  <c r="P182" i="3"/>
  <c r="Q182" i="3" s="1"/>
  <c r="R182" i="3" s="1"/>
  <c r="AA182" i="3"/>
  <c r="K47" i="3"/>
  <c r="S180" i="3"/>
  <c r="T179" i="3"/>
  <c r="F47" i="3" l="1"/>
  <c r="AA183" i="3"/>
  <c r="AC183" i="3"/>
  <c r="AD183" i="3"/>
  <c r="A184" i="3"/>
  <c r="B184" i="3" s="1"/>
  <c r="P183" i="3"/>
  <c r="Q183" i="3" s="1"/>
  <c r="R183" i="3" s="1"/>
  <c r="Z183" i="3"/>
  <c r="T180" i="3"/>
  <c r="S181" i="3"/>
  <c r="I47" i="3"/>
  <c r="J47" i="3"/>
  <c r="M47" i="3"/>
  <c r="N47" i="3" s="1"/>
  <c r="V47" i="3"/>
  <c r="AE47" i="3"/>
  <c r="W47" i="3" l="1"/>
  <c r="AA184" i="3"/>
  <c r="AD184" i="3"/>
  <c r="A185" i="3"/>
  <c r="B185" i="3" s="1"/>
  <c r="Z184" i="3"/>
  <c r="P184" i="3"/>
  <c r="Q184" i="3" s="1"/>
  <c r="R184" i="3" s="1"/>
  <c r="AC184" i="3"/>
  <c r="S182" i="3"/>
  <c r="T181" i="3"/>
  <c r="L47" i="3"/>
  <c r="U47" i="3" l="1"/>
  <c r="D48" i="3" s="1"/>
  <c r="AH48" i="3"/>
  <c r="AG48" i="3"/>
  <c r="Y46" i="3"/>
  <c r="AC185" i="3"/>
  <c r="AA185" i="3"/>
  <c r="AD185" i="3"/>
  <c r="A186" i="3"/>
  <c r="B186" i="3" s="1"/>
  <c r="Z185" i="3"/>
  <c r="P185" i="3"/>
  <c r="Q185" i="3" s="1"/>
  <c r="R185" i="3" s="1"/>
  <c r="T182" i="3"/>
  <c r="S183" i="3"/>
  <c r="E48" i="3" l="1"/>
  <c r="H48" i="3" s="1"/>
  <c r="K48" i="3" s="1"/>
  <c r="G48" i="3"/>
  <c r="Z186" i="3"/>
  <c r="AA186" i="3"/>
  <c r="P186" i="3"/>
  <c r="Q186" i="3" s="1"/>
  <c r="R186" i="3" s="1"/>
  <c r="AD186" i="3"/>
  <c r="A187" i="3"/>
  <c r="B187" i="3" s="1"/>
  <c r="AC186" i="3"/>
  <c r="T183" i="3"/>
  <c r="S184" i="3"/>
  <c r="F48" i="3" l="1"/>
  <c r="P187" i="3"/>
  <c r="Q187" i="3" s="1"/>
  <c r="R187" i="3" s="1"/>
  <c r="AC187" i="3"/>
  <c r="Z187" i="3"/>
  <c r="A188" i="3"/>
  <c r="B188" i="3" s="1"/>
  <c r="AA187" i="3"/>
  <c r="AD187" i="3"/>
  <c r="T184" i="3"/>
  <c r="S185" i="3"/>
  <c r="V48" i="3"/>
  <c r="AE48" i="3"/>
  <c r="I48" i="3"/>
  <c r="J48" i="3"/>
  <c r="M48" i="3"/>
  <c r="N48" i="3" s="1"/>
  <c r="W48" i="3" l="1"/>
  <c r="AA188" i="3"/>
  <c r="AC188" i="3"/>
  <c r="Z188" i="3"/>
  <c r="AD188" i="3"/>
  <c r="P188" i="3"/>
  <c r="Q188" i="3" s="1"/>
  <c r="R188" i="3" s="1"/>
  <c r="A189" i="3"/>
  <c r="B189" i="3" s="1"/>
  <c r="S186" i="3"/>
  <c r="T185" i="3"/>
  <c r="L48" i="3"/>
  <c r="AG49" i="3" l="1"/>
  <c r="AH49" i="3"/>
  <c r="U48" i="3"/>
  <c r="E49" i="3" s="1"/>
  <c r="H49" i="3" s="1"/>
  <c r="Y47" i="3"/>
  <c r="AA189" i="3"/>
  <c r="Z189" i="3"/>
  <c r="P189" i="3"/>
  <c r="Q189" i="3" s="1"/>
  <c r="R189" i="3" s="1"/>
  <c r="AC189" i="3"/>
  <c r="AD189" i="3"/>
  <c r="A190" i="3"/>
  <c r="B190" i="3" s="1"/>
  <c r="S187" i="3"/>
  <c r="T186" i="3"/>
  <c r="D49" i="3" l="1"/>
  <c r="F49" i="3" s="1"/>
  <c r="AD190" i="3"/>
  <c r="AA190" i="3"/>
  <c r="AC190" i="3"/>
  <c r="P190" i="3"/>
  <c r="Q190" i="3" s="1"/>
  <c r="R190" i="3" s="1"/>
  <c r="Z190" i="3"/>
  <c r="A191" i="3"/>
  <c r="B191" i="3" s="1"/>
  <c r="T187" i="3"/>
  <c r="S188" i="3"/>
  <c r="K49" i="3"/>
  <c r="G49" i="3" l="1"/>
  <c r="I49" i="3" s="1"/>
  <c r="Z191" i="3"/>
  <c r="P191" i="3"/>
  <c r="Q191" i="3" s="1"/>
  <c r="R191" i="3" s="1"/>
  <c r="AD191" i="3"/>
  <c r="AA191" i="3"/>
  <c r="AC191" i="3"/>
  <c r="A192" i="3"/>
  <c r="B192" i="3" s="1"/>
  <c r="V49" i="3"/>
  <c r="AE49" i="3"/>
  <c r="S189" i="3"/>
  <c r="T188" i="3"/>
  <c r="M49" i="3" l="1"/>
  <c r="N49" i="3" s="1"/>
  <c r="J49" i="3"/>
  <c r="L49" i="3" s="1"/>
  <c r="W49" i="3"/>
  <c r="P192" i="3"/>
  <c r="Q192" i="3" s="1"/>
  <c r="R192" i="3" s="1"/>
  <c r="AC192" i="3"/>
  <c r="AD192" i="3"/>
  <c r="AA192" i="3"/>
  <c r="A193" i="3"/>
  <c r="B193" i="3" s="1"/>
  <c r="Z192" i="3"/>
  <c r="T189" i="3"/>
  <c r="S190" i="3"/>
  <c r="Z193" i="3" l="1"/>
  <c r="AC193" i="3"/>
  <c r="AA193" i="3"/>
  <c r="A194" i="3"/>
  <c r="B194" i="3" s="1"/>
  <c r="AD193" i="3"/>
  <c r="P193" i="3"/>
  <c r="Q193" i="3" s="1"/>
  <c r="R193" i="3" s="1"/>
  <c r="AG50" i="3"/>
  <c r="AH50" i="3"/>
  <c r="U49" i="3"/>
  <c r="E50" i="3" s="1"/>
  <c r="H50" i="3" s="1"/>
  <c r="Y48" i="3"/>
  <c r="S191" i="3"/>
  <c r="T190" i="3"/>
  <c r="D50" i="3" l="1"/>
  <c r="F50" i="3" s="1"/>
  <c r="Z194" i="3"/>
  <c r="AC194" i="3"/>
  <c r="AD194" i="3"/>
  <c r="A195" i="3"/>
  <c r="B195" i="3" s="1"/>
  <c r="AA194" i="3"/>
  <c r="P194" i="3"/>
  <c r="Q194" i="3" s="1"/>
  <c r="R194" i="3" s="1"/>
  <c r="S192" i="3"/>
  <c r="T191" i="3"/>
  <c r="K50" i="3"/>
  <c r="G50" i="3" l="1"/>
  <c r="I50" i="3" s="1"/>
  <c r="AA195" i="3"/>
  <c r="P195" i="3"/>
  <c r="Q195" i="3" s="1"/>
  <c r="R195" i="3" s="1"/>
  <c r="Z195" i="3"/>
  <c r="AD195" i="3"/>
  <c r="AC195" i="3"/>
  <c r="A196" i="3"/>
  <c r="B196" i="3" s="1"/>
  <c r="V50" i="3"/>
  <c r="AE50" i="3"/>
  <c r="S193" i="3"/>
  <c r="T192" i="3"/>
  <c r="J50" i="3" l="1"/>
  <c r="L50" i="3" s="1"/>
  <c r="M50" i="3"/>
  <c r="N50" i="3" s="1"/>
  <c r="W50" i="3"/>
  <c r="A197" i="3"/>
  <c r="B197" i="3" s="1"/>
  <c r="Z196" i="3"/>
  <c r="AA196" i="3"/>
  <c r="P196" i="3"/>
  <c r="Q196" i="3" s="1"/>
  <c r="R196" i="3" s="1"/>
  <c r="AC196" i="3"/>
  <c r="AD196" i="3"/>
  <c r="T193" i="3"/>
  <c r="S194" i="3"/>
  <c r="AG51" i="3" l="1"/>
  <c r="AH51" i="3"/>
  <c r="U50" i="3"/>
  <c r="D51" i="3" s="1"/>
  <c r="Y49" i="3"/>
  <c r="S195" i="3"/>
  <c r="T194" i="3"/>
  <c r="AC197" i="3"/>
  <c r="Z197" i="3"/>
  <c r="AD197" i="3"/>
  <c r="A198" i="3"/>
  <c r="B198" i="3" s="1"/>
  <c r="AA197" i="3"/>
  <c r="P197" i="3"/>
  <c r="Q197" i="3" s="1"/>
  <c r="R197" i="3" s="1"/>
  <c r="E51" i="3" l="1"/>
  <c r="H51" i="3" s="1"/>
  <c r="K51" i="3" s="1"/>
  <c r="G51" i="3"/>
  <c r="A199" i="3"/>
  <c r="B199" i="3" s="1"/>
  <c r="P198" i="3"/>
  <c r="Q198" i="3" s="1"/>
  <c r="R198" i="3" s="1"/>
  <c r="AD198" i="3"/>
  <c r="AA198" i="3"/>
  <c r="Z198" i="3"/>
  <c r="AC198" i="3"/>
  <c r="T195" i="3"/>
  <c r="S196" i="3"/>
  <c r="F51" i="3" l="1"/>
  <c r="Z199" i="3"/>
  <c r="AD199" i="3"/>
  <c r="P199" i="3"/>
  <c r="Q199" i="3" s="1"/>
  <c r="R199" i="3" s="1"/>
  <c r="AA199" i="3"/>
  <c r="AC199" i="3"/>
  <c r="A200" i="3"/>
  <c r="B200" i="3" s="1"/>
  <c r="S197" i="3"/>
  <c r="T196" i="3"/>
  <c r="V51" i="3"/>
  <c r="AE51" i="3"/>
  <c r="I51" i="3"/>
  <c r="J51" i="3"/>
  <c r="M51" i="3"/>
  <c r="N51" i="3" s="1"/>
  <c r="W51" i="3" l="1"/>
  <c r="AA200" i="3"/>
  <c r="A201" i="3"/>
  <c r="B201" i="3" s="1"/>
  <c r="AD200" i="3"/>
  <c r="Z200" i="3"/>
  <c r="AC200" i="3"/>
  <c r="P200" i="3"/>
  <c r="Q200" i="3" s="1"/>
  <c r="R200" i="3" s="1"/>
  <c r="L51" i="3"/>
  <c r="S198" i="3"/>
  <c r="T197" i="3"/>
  <c r="T198" i="3" l="1"/>
  <c r="S199" i="3"/>
  <c r="AA201" i="3"/>
  <c r="P201" i="3"/>
  <c r="Q201" i="3" s="1"/>
  <c r="R201" i="3" s="1"/>
  <c r="AD201" i="3"/>
  <c r="Z201" i="3"/>
  <c r="AC201" i="3"/>
  <c r="A202" i="3"/>
  <c r="B202" i="3" s="1"/>
  <c r="U51" i="3"/>
  <c r="D52" i="3" s="1"/>
  <c r="AH52" i="3"/>
  <c r="AG52" i="3"/>
  <c r="Y50" i="3"/>
  <c r="E52" i="3" l="1"/>
  <c r="H52" i="3" s="1"/>
  <c r="K52" i="3" s="1"/>
  <c r="G52" i="3"/>
  <c r="AC202" i="3"/>
  <c r="AA202" i="3"/>
  <c r="P202" i="3"/>
  <c r="Q202" i="3" s="1"/>
  <c r="R202" i="3" s="1"/>
  <c r="AD202" i="3"/>
  <c r="Z202" i="3"/>
  <c r="A203" i="3"/>
  <c r="B203" i="3" s="1"/>
  <c r="S200" i="3"/>
  <c r="T199" i="3"/>
  <c r="F52" i="3" l="1"/>
  <c r="S201" i="3"/>
  <c r="T200" i="3"/>
  <c r="V52" i="3"/>
  <c r="AE52" i="3"/>
  <c r="AC203" i="3"/>
  <c r="Z203" i="3"/>
  <c r="A204" i="3"/>
  <c r="B204" i="3" s="1"/>
  <c r="AA203" i="3"/>
  <c r="AD203" i="3"/>
  <c r="P203" i="3"/>
  <c r="Q203" i="3" s="1"/>
  <c r="R203" i="3" s="1"/>
  <c r="I52" i="3"/>
  <c r="J52" i="3"/>
  <c r="M52" i="3"/>
  <c r="N52" i="3" s="1"/>
  <c r="W52" i="3" l="1"/>
  <c r="AC204" i="3"/>
  <c r="P204" i="3"/>
  <c r="Q204" i="3" s="1"/>
  <c r="R204" i="3" s="1"/>
  <c r="AA204" i="3"/>
  <c r="Z204" i="3"/>
  <c r="L52" i="3"/>
  <c r="S202" i="3"/>
  <c r="T201" i="3"/>
  <c r="T202" i="3" l="1"/>
  <c r="S203" i="3"/>
  <c r="AG53" i="3"/>
  <c r="AH53" i="3"/>
  <c r="U52" i="3"/>
  <c r="D53" i="3" s="1"/>
  <c r="Y51" i="3"/>
  <c r="E53" i="3" l="1"/>
  <c r="H53" i="3" s="1"/>
  <c r="K53" i="3" s="1"/>
  <c r="G53" i="3"/>
  <c r="T203" i="3"/>
  <c r="S204" i="3"/>
  <c r="F53" i="3" l="1"/>
  <c r="T204" i="3"/>
  <c r="V53" i="3"/>
  <c r="AE53" i="3"/>
  <c r="I53" i="3"/>
  <c r="J53" i="3"/>
  <c r="M53" i="3"/>
  <c r="N53" i="3" s="1"/>
  <c r="W53" i="3" l="1"/>
  <c r="L53" i="3"/>
  <c r="AH54" i="3" l="1"/>
  <c r="U53" i="3"/>
  <c r="E54" i="3" s="1"/>
  <c r="H54" i="3" s="1"/>
  <c r="AG54" i="3"/>
  <c r="Y52" i="3"/>
  <c r="D54" i="3" l="1"/>
  <c r="F54" i="3" s="1"/>
  <c r="K54" i="3"/>
  <c r="G54" i="3" l="1"/>
  <c r="I54" i="3" s="1"/>
  <c r="V54" i="3"/>
  <c r="AE54" i="3"/>
  <c r="W54" i="3" l="1"/>
  <c r="M54" i="3"/>
  <c r="N54" i="3" s="1"/>
  <c r="J54" i="3"/>
  <c r="L54" i="3" s="1"/>
  <c r="U54" i="3" l="1"/>
  <c r="D55" i="3" s="1"/>
  <c r="AH55" i="3"/>
  <c r="AG55" i="3"/>
  <c r="Y53" i="3"/>
  <c r="E55" i="3" l="1"/>
  <c r="H55" i="3" s="1"/>
  <c r="K55" i="3" s="1"/>
  <c r="G55" i="3"/>
  <c r="F55" i="3" l="1"/>
  <c r="V55" i="3"/>
  <c r="AE55" i="3"/>
  <c r="I55" i="3"/>
  <c r="J55" i="3"/>
  <c r="M55" i="3"/>
  <c r="N55" i="3" s="1"/>
  <c r="W55" i="3" l="1"/>
  <c r="L55" i="3"/>
  <c r="AG56" i="3" l="1"/>
  <c r="AH56" i="3"/>
  <c r="U55" i="3"/>
  <c r="E56" i="3" s="1"/>
  <c r="H56" i="3" s="1"/>
  <c r="Y54" i="3"/>
  <c r="K56" i="3" l="1"/>
  <c r="D56" i="3"/>
  <c r="F56" i="3" l="1"/>
  <c r="G56" i="3"/>
  <c r="V56" i="3"/>
  <c r="AE56" i="3"/>
  <c r="I56" i="3" l="1"/>
  <c r="W56" i="3" s="1"/>
  <c r="J56" i="3"/>
  <c r="M56" i="3"/>
  <c r="N56" i="3" s="1"/>
  <c r="L56" i="3" l="1"/>
  <c r="U56" i="3" l="1"/>
  <c r="D57" i="3" s="1"/>
  <c r="AG57" i="3"/>
  <c r="AH57" i="3"/>
  <c r="Y55" i="3"/>
  <c r="E57" i="3" l="1"/>
  <c r="H57" i="3" s="1"/>
  <c r="K57" i="3" s="1"/>
  <c r="G57" i="3"/>
  <c r="F57" i="3" l="1"/>
  <c r="V57" i="3"/>
  <c r="AE57" i="3"/>
  <c r="I57" i="3"/>
  <c r="J57" i="3"/>
  <c r="M57" i="3"/>
  <c r="N57" i="3" s="1"/>
  <c r="W57" i="3" l="1"/>
  <c r="L57" i="3"/>
  <c r="AH58" i="3" l="1"/>
  <c r="U57" i="3"/>
  <c r="E58" i="3" s="1"/>
  <c r="H58" i="3" s="1"/>
  <c r="AG58" i="3"/>
  <c r="Y56" i="3"/>
  <c r="D58" i="3" l="1"/>
  <c r="F58" i="3" s="1"/>
  <c r="K58" i="3"/>
  <c r="G58" i="3" l="1"/>
  <c r="I58" i="3" s="1"/>
  <c r="V58" i="3"/>
  <c r="AE58" i="3"/>
  <c r="W58" i="3" l="1"/>
  <c r="M58" i="3"/>
  <c r="N58" i="3" s="1"/>
  <c r="J58" i="3"/>
  <c r="L58" i="3" s="1"/>
  <c r="AH59" i="3" l="1"/>
  <c r="AG59" i="3"/>
  <c r="U58" i="3"/>
  <c r="D59" i="3" s="1"/>
  <c r="Y57" i="3"/>
  <c r="G59" i="3" l="1"/>
  <c r="E59" i="3"/>
  <c r="H59" i="3" s="1"/>
  <c r="K59" i="3" l="1"/>
  <c r="I59" i="3"/>
  <c r="J59" i="3"/>
  <c r="M59" i="3"/>
  <c r="N59" i="3" s="1"/>
  <c r="F59" i="3"/>
  <c r="L59" i="3" l="1"/>
  <c r="V59" i="3"/>
  <c r="W59" i="3" s="1"/>
  <c r="AE59" i="3"/>
  <c r="AH60" i="3" l="1"/>
  <c r="U59" i="3"/>
  <c r="D60" i="3" s="1"/>
  <c r="AG60" i="3"/>
  <c r="Y58" i="3"/>
  <c r="E60" i="3" l="1"/>
  <c r="H60" i="3" s="1"/>
  <c r="K60" i="3" s="1"/>
  <c r="G60" i="3"/>
  <c r="F60" i="3" l="1"/>
  <c r="V60" i="3"/>
  <c r="AE60" i="3"/>
  <c r="I60" i="3"/>
  <c r="J60" i="3"/>
  <c r="M60" i="3"/>
  <c r="N60" i="3" s="1"/>
  <c r="W60" i="3" l="1"/>
  <c r="L60" i="3"/>
  <c r="U60" i="3" l="1"/>
  <c r="D61" i="3" s="1"/>
  <c r="AH61" i="3"/>
  <c r="AG61" i="3"/>
  <c r="Y59" i="3"/>
  <c r="E61" i="3" l="1"/>
  <c r="H61" i="3" s="1"/>
  <c r="K61" i="3" s="1"/>
  <c r="G61" i="3"/>
  <c r="F61" i="3" l="1"/>
  <c r="I61" i="3"/>
  <c r="J61" i="3"/>
  <c r="M61" i="3"/>
  <c r="N61" i="3" s="1"/>
  <c r="V61" i="3"/>
  <c r="AE61" i="3"/>
  <c r="W61" i="3" l="1"/>
  <c r="L61" i="3"/>
  <c r="AG62" i="3" l="1"/>
  <c r="U61" i="3"/>
  <c r="D62" i="3" s="1"/>
  <c r="AH62" i="3"/>
  <c r="Y60" i="3"/>
  <c r="E62" i="3" l="1"/>
  <c r="H62" i="3" s="1"/>
  <c r="K62" i="3" s="1"/>
  <c r="G62" i="3"/>
  <c r="F62" i="3" l="1"/>
  <c r="V62" i="3"/>
  <c r="AE62" i="3"/>
  <c r="I62" i="3"/>
  <c r="J62" i="3"/>
  <c r="M62" i="3"/>
  <c r="N62" i="3" s="1"/>
  <c r="W62" i="3" l="1"/>
  <c r="L62" i="3"/>
  <c r="AH63" i="3" l="1"/>
  <c r="U62" i="3"/>
  <c r="D63" i="3" s="1"/>
  <c r="AG63" i="3"/>
  <c r="Y61" i="3"/>
  <c r="E63" i="3" l="1"/>
  <c r="H63" i="3" s="1"/>
  <c r="K63" i="3" s="1"/>
  <c r="G63" i="3"/>
  <c r="F63" i="3" l="1"/>
  <c r="V63" i="3"/>
  <c r="AE63" i="3"/>
  <c r="I63" i="3"/>
  <c r="J63" i="3"/>
  <c r="M63" i="3"/>
  <c r="N63" i="3" s="1"/>
  <c r="L63" i="3" l="1"/>
  <c r="W63" i="3"/>
  <c r="AH64" i="3" l="1"/>
  <c r="AG64" i="3"/>
  <c r="U63" i="3"/>
  <c r="D64" i="3" s="1"/>
  <c r="Y62" i="3"/>
  <c r="G64" i="3" l="1"/>
  <c r="E64" i="3"/>
  <c r="H64" i="3" s="1"/>
  <c r="K64" i="3" l="1"/>
  <c r="I64" i="3"/>
  <c r="J64" i="3"/>
  <c r="M64" i="3"/>
  <c r="N64" i="3" s="1"/>
  <c r="F64" i="3"/>
  <c r="L64" i="3" l="1"/>
  <c r="V64" i="3"/>
  <c r="W64" i="3" s="1"/>
  <c r="AE64" i="3"/>
  <c r="AG65" i="3" l="1"/>
  <c r="U64" i="3"/>
  <c r="E65" i="3" s="1"/>
  <c r="H65" i="3" s="1"/>
  <c r="AH65" i="3"/>
  <c r="Y63" i="3"/>
  <c r="D65" i="3" l="1"/>
  <c r="G65" i="3" s="1"/>
  <c r="K65" i="3"/>
  <c r="F65" i="3" l="1"/>
  <c r="I65" i="3"/>
  <c r="J65" i="3"/>
  <c r="M65" i="3"/>
  <c r="N65" i="3" s="1"/>
  <c r="V65" i="3"/>
  <c r="AE65" i="3"/>
  <c r="W65" i="3" l="1"/>
  <c r="L65" i="3"/>
  <c r="AH66" i="3" l="1"/>
  <c r="AG66" i="3"/>
  <c r="U65" i="3"/>
  <c r="E66" i="3" s="1"/>
  <c r="H66" i="3" s="1"/>
  <c r="Y64" i="3"/>
  <c r="K66" i="3" l="1"/>
  <c r="D66" i="3"/>
  <c r="F66" i="3" l="1"/>
  <c r="G66" i="3"/>
  <c r="V66" i="3"/>
  <c r="AE66" i="3"/>
  <c r="I66" i="3" l="1"/>
  <c r="W66" i="3" s="1"/>
  <c r="J66" i="3"/>
  <c r="M66" i="3"/>
  <c r="N66" i="3" s="1"/>
  <c r="L66" i="3" l="1"/>
  <c r="U66" i="3" l="1"/>
  <c r="E67" i="3" s="1"/>
  <c r="H67" i="3" s="1"/>
  <c r="AH67" i="3"/>
  <c r="AG67" i="3"/>
  <c r="Y65" i="3"/>
  <c r="D67" i="3" l="1"/>
  <c r="F67" i="3" s="1"/>
  <c r="K67" i="3"/>
  <c r="G67" i="3" l="1"/>
  <c r="I67" i="3" s="1"/>
  <c r="V67" i="3"/>
  <c r="AE67" i="3"/>
  <c r="M67" i="3" l="1"/>
  <c r="N67" i="3" s="1"/>
  <c r="J67" i="3"/>
  <c r="L67" i="3" s="1"/>
  <c r="W67" i="3"/>
  <c r="U67" i="3" l="1"/>
  <c r="D68" i="3" s="1"/>
  <c r="AG68" i="3"/>
  <c r="AH68" i="3"/>
  <c r="Y66" i="3"/>
  <c r="E68" i="3" l="1"/>
  <c r="H68" i="3" s="1"/>
  <c r="K68" i="3" s="1"/>
  <c r="G68" i="3"/>
  <c r="F68" i="3" l="1"/>
  <c r="I68" i="3"/>
  <c r="J68" i="3"/>
  <c r="M68" i="3"/>
  <c r="N68" i="3" s="1"/>
  <c r="V68" i="3"/>
  <c r="AE68" i="3"/>
  <c r="W68" i="3" l="1"/>
  <c r="L68" i="3"/>
  <c r="AG69" i="3" l="1"/>
  <c r="AH69" i="3"/>
  <c r="U68" i="3"/>
  <c r="E69" i="3" s="1"/>
  <c r="H69" i="3" s="1"/>
  <c r="Y67" i="3"/>
  <c r="D69" i="3" l="1"/>
  <c r="F69" i="3" s="1"/>
  <c r="K69" i="3"/>
  <c r="G69" i="3" l="1"/>
  <c r="I69" i="3" s="1"/>
  <c r="V69" i="3"/>
  <c r="AE69" i="3"/>
  <c r="M69" i="3" l="1"/>
  <c r="N69" i="3" s="1"/>
  <c r="W69" i="3"/>
  <c r="J69" i="3"/>
  <c r="L69" i="3" s="1"/>
  <c r="AH70" i="3" l="1"/>
  <c r="U69" i="3"/>
  <c r="D70" i="3" s="1"/>
  <c r="AG70" i="3"/>
  <c r="Y68" i="3"/>
  <c r="E70" i="3" l="1"/>
  <c r="H70" i="3" s="1"/>
  <c r="K70" i="3" s="1"/>
  <c r="G70" i="3"/>
  <c r="F70" i="3" l="1"/>
  <c r="V70" i="3"/>
  <c r="AE70" i="3"/>
  <c r="I70" i="3"/>
  <c r="J70" i="3"/>
  <c r="M70" i="3"/>
  <c r="N70" i="3" s="1"/>
  <c r="L70" i="3" l="1"/>
  <c r="W70" i="3"/>
  <c r="U70" i="3" l="1"/>
  <c r="E71" i="3" s="1"/>
  <c r="H71" i="3" s="1"/>
  <c r="AH71" i="3"/>
  <c r="AG71" i="3"/>
  <c r="Y69" i="3"/>
  <c r="D71" i="3" l="1"/>
  <c r="F71" i="3" s="1"/>
  <c r="K71" i="3"/>
  <c r="G71" i="3" l="1"/>
  <c r="I71" i="3" s="1"/>
  <c r="V71" i="3"/>
  <c r="AE71" i="3"/>
  <c r="J71" i="3" l="1"/>
  <c r="L71" i="3" s="1"/>
  <c r="M71" i="3"/>
  <c r="N71" i="3" s="1"/>
  <c r="W71" i="3"/>
  <c r="U71" i="3" l="1"/>
  <c r="D72" i="3" s="1"/>
  <c r="AH72" i="3"/>
  <c r="AG72" i="3"/>
  <c r="Y70" i="3"/>
  <c r="E72" i="3" l="1"/>
  <c r="H72" i="3" s="1"/>
  <c r="K72" i="3" s="1"/>
  <c r="G72" i="3"/>
  <c r="F72" i="3" l="1"/>
  <c r="V72" i="3"/>
  <c r="AE72" i="3"/>
  <c r="I72" i="3"/>
  <c r="J72" i="3"/>
  <c r="M72" i="3"/>
  <c r="N72" i="3" s="1"/>
  <c r="L72" i="3" l="1"/>
  <c r="W72" i="3"/>
  <c r="AG73" i="3" l="1"/>
  <c r="AH73" i="3"/>
  <c r="U72" i="3"/>
  <c r="D73" i="3" s="1"/>
  <c r="Y71" i="3"/>
  <c r="E73" i="3" l="1"/>
  <c r="H73" i="3" s="1"/>
  <c r="K73" i="3" s="1"/>
  <c r="G73" i="3"/>
  <c r="F73" i="3" l="1"/>
  <c r="V73" i="3"/>
  <c r="AE73" i="3"/>
  <c r="I73" i="3"/>
  <c r="J73" i="3"/>
  <c r="M73" i="3"/>
  <c r="N73" i="3" s="1"/>
  <c r="L73" i="3" l="1"/>
  <c r="W73" i="3"/>
  <c r="AH74" i="3" l="1"/>
  <c r="U73" i="3"/>
  <c r="D74" i="3" s="1"/>
  <c r="AG74" i="3"/>
  <c r="Y72" i="3"/>
  <c r="E74" i="3" l="1"/>
  <c r="H74" i="3" s="1"/>
  <c r="K74" i="3" s="1"/>
  <c r="G74" i="3"/>
  <c r="F74" i="3" l="1"/>
  <c r="V74" i="3"/>
  <c r="AE74" i="3"/>
  <c r="I74" i="3"/>
  <c r="J74" i="3"/>
  <c r="M74" i="3"/>
  <c r="N74" i="3" s="1"/>
  <c r="L74" i="3" l="1"/>
  <c r="W74" i="3"/>
  <c r="AG75" i="3" l="1"/>
  <c r="U74" i="3"/>
  <c r="E75" i="3" s="1"/>
  <c r="H75" i="3" s="1"/>
  <c r="AH75" i="3"/>
  <c r="Y73" i="3"/>
  <c r="D75" i="3" l="1"/>
  <c r="F75" i="3" s="1"/>
  <c r="K75" i="3"/>
  <c r="G75" i="3" l="1"/>
  <c r="M75" i="3" s="1"/>
  <c r="N75" i="3" s="1"/>
  <c r="V75" i="3"/>
  <c r="AE75" i="3"/>
  <c r="J75" i="3" l="1"/>
  <c r="L75" i="3" s="1"/>
  <c r="I75" i="3"/>
  <c r="W75" i="3" s="1"/>
  <c r="AG76" i="3" l="1"/>
  <c r="U75" i="3"/>
  <c r="D76" i="3" s="1"/>
  <c r="AH76" i="3"/>
  <c r="Y74" i="3"/>
  <c r="E76" i="3" l="1"/>
  <c r="H76" i="3" s="1"/>
  <c r="K76" i="3" s="1"/>
  <c r="G76" i="3"/>
  <c r="F76" i="3" l="1"/>
  <c r="V76" i="3"/>
  <c r="AE76" i="3"/>
  <c r="I76" i="3"/>
  <c r="J76" i="3"/>
  <c r="M76" i="3"/>
  <c r="N76" i="3" s="1"/>
  <c r="L76" i="3" l="1"/>
  <c r="W76" i="3"/>
  <c r="AG77" i="3" l="1"/>
  <c r="U76" i="3"/>
  <c r="D77" i="3" s="1"/>
  <c r="AH77" i="3"/>
  <c r="Y75" i="3"/>
  <c r="E77" i="3" l="1"/>
  <c r="H77" i="3" s="1"/>
  <c r="K77" i="3" s="1"/>
  <c r="G77" i="3"/>
  <c r="F77" i="3" l="1"/>
  <c r="V77" i="3"/>
  <c r="AE77" i="3"/>
  <c r="I77" i="3"/>
  <c r="J77" i="3"/>
  <c r="M77" i="3"/>
  <c r="N77" i="3" s="1"/>
  <c r="L77" i="3" l="1"/>
  <c r="W77" i="3"/>
  <c r="U77" i="3" l="1"/>
  <c r="E78" i="3" s="1"/>
  <c r="H78" i="3" s="1"/>
  <c r="AH78" i="3"/>
  <c r="AG78" i="3"/>
  <c r="Y76" i="3"/>
  <c r="D78" i="3" l="1"/>
  <c r="G78" i="3" s="1"/>
  <c r="K78" i="3"/>
  <c r="F78" i="3" l="1"/>
  <c r="I78" i="3"/>
  <c r="J78" i="3"/>
  <c r="M78" i="3"/>
  <c r="N78" i="3" s="1"/>
  <c r="V78" i="3"/>
  <c r="AE78" i="3"/>
  <c r="W78" i="3" l="1"/>
  <c r="L78" i="3"/>
  <c r="U78" i="3" l="1"/>
  <c r="E79" i="3" s="1"/>
  <c r="H79" i="3" s="1"/>
  <c r="AG79" i="3"/>
  <c r="AH79" i="3"/>
  <c r="Y77" i="3"/>
  <c r="D79" i="3" l="1"/>
  <c r="F79" i="3" s="1"/>
  <c r="K79" i="3"/>
  <c r="G79" i="3" l="1"/>
  <c r="I79" i="3" s="1"/>
  <c r="V79" i="3"/>
  <c r="AE79" i="3"/>
  <c r="M79" i="3" l="1"/>
  <c r="N79" i="3" s="1"/>
  <c r="J79" i="3"/>
  <c r="L79" i="3" s="1"/>
  <c r="W79" i="3"/>
  <c r="AH80" i="3" l="1"/>
  <c r="AG80" i="3"/>
  <c r="U79" i="3"/>
  <c r="E80" i="3" s="1"/>
  <c r="H80" i="3" s="1"/>
  <c r="Y78" i="3"/>
  <c r="D80" i="3" l="1"/>
  <c r="F80" i="3" s="1"/>
  <c r="K80" i="3"/>
  <c r="G80" i="3" l="1"/>
  <c r="J80" i="3" s="1"/>
  <c r="V80" i="3"/>
  <c r="AE80" i="3"/>
  <c r="I80" i="3" l="1"/>
  <c r="W80" i="3" s="1"/>
  <c r="M80" i="3"/>
  <c r="N80" i="3" s="1"/>
  <c r="L80" i="3"/>
  <c r="AG81" i="3" l="1"/>
  <c r="U80" i="3"/>
  <c r="E81" i="3" s="1"/>
  <c r="H81" i="3" s="1"/>
  <c r="AH81" i="3"/>
  <c r="Y79" i="3"/>
  <c r="D81" i="3" l="1"/>
  <c r="F81" i="3" s="1"/>
  <c r="K81" i="3"/>
  <c r="G81" i="3" l="1"/>
  <c r="I81" i="3" s="1"/>
  <c r="V81" i="3"/>
  <c r="AE81" i="3"/>
  <c r="M81" i="3" l="1"/>
  <c r="N81" i="3" s="1"/>
  <c r="J81" i="3"/>
  <c r="L81" i="3" s="1"/>
  <c r="W81" i="3"/>
  <c r="AG82" i="3" l="1"/>
  <c r="AH82" i="3"/>
  <c r="U81" i="3"/>
  <c r="E82" i="3" s="1"/>
  <c r="H82" i="3" s="1"/>
  <c r="Y80" i="3"/>
  <c r="D82" i="3" l="1"/>
  <c r="F82" i="3" s="1"/>
  <c r="K82" i="3"/>
  <c r="G82" i="3" l="1"/>
  <c r="M82" i="3" s="1"/>
  <c r="N82" i="3" s="1"/>
  <c r="V82" i="3"/>
  <c r="AE82" i="3"/>
  <c r="J82" i="3" l="1"/>
  <c r="L82" i="3" s="1"/>
  <c r="I82" i="3"/>
  <c r="W82" i="3" s="1"/>
  <c r="AG83" i="3" l="1"/>
  <c r="U82" i="3"/>
  <c r="D83" i="3" s="1"/>
  <c r="AH83" i="3"/>
  <c r="Y81" i="3"/>
  <c r="E83" i="3" l="1"/>
  <c r="H83" i="3" s="1"/>
  <c r="K83" i="3" s="1"/>
  <c r="G83" i="3"/>
  <c r="F83" i="3" l="1"/>
  <c r="V83" i="3"/>
  <c r="AE83" i="3"/>
  <c r="I83" i="3"/>
  <c r="J83" i="3"/>
  <c r="M83" i="3"/>
  <c r="N83" i="3" s="1"/>
  <c r="L83" i="3" l="1"/>
  <c r="W83" i="3"/>
  <c r="AG84" i="3" l="1"/>
  <c r="AH84" i="3"/>
  <c r="U83" i="3"/>
  <c r="E84" i="3" s="1"/>
  <c r="H84" i="3" s="1"/>
  <c r="Y82" i="3"/>
  <c r="K84" i="3" l="1"/>
  <c r="D84" i="3"/>
  <c r="V84" i="3" l="1"/>
  <c r="AE84" i="3"/>
  <c r="F84" i="3"/>
  <c r="G84" i="3"/>
  <c r="I84" i="3" l="1"/>
  <c r="W84" i="3" s="1"/>
  <c r="J84" i="3"/>
  <c r="M84" i="3"/>
  <c r="N84" i="3" s="1"/>
  <c r="L84" i="3" l="1"/>
  <c r="AH85" i="3" l="1"/>
  <c r="AG85" i="3"/>
  <c r="U84" i="3"/>
  <c r="E85" i="3" s="1"/>
  <c r="H85" i="3" s="1"/>
  <c r="Y83" i="3"/>
  <c r="D85" i="3" l="1"/>
  <c r="F85" i="3" s="1"/>
  <c r="K85" i="3"/>
  <c r="G85" i="3" l="1"/>
  <c r="I85" i="3" s="1"/>
  <c r="V85" i="3"/>
  <c r="AE85" i="3"/>
  <c r="W85" i="3" l="1"/>
  <c r="M85" i="3"/>
  <c r="N85" i="3" s="1"/>
  <c r="J85" i="3"/>
  <c r="L85" i="3" s="1"/>
  <c r="AG86" i="3" l="1"/>
  <c r="AH86" i="3"/>
  <c r="U85" i="3"/>
  <c r="D86" i="3" s="1"/>
  <c r="Y84" i="3"/>
  <c r="E86" i="3" l="1"/>
  <c r="H86" i="3" s="1"/>
  <c r="K86" i="3" s="1"/>
  <c r="G86" i="3"/>
  <c r="F86" i="3" l="1"/>
  <c r="V86" i="3"/>
  <c r="AE86" i="3"/>
  <c r="I86" i="3"/>
  <c r="J86" i="3"/>
  <c r="M86" i="3"/>
  <c r="N86" i="3" s="1"/>
  <c r="L86" i="3" l="1"/>
  <c r="W86" i="3"/>
  <c r="AH87" i="3" l="1"/>
  <c r="U86" i="3"/>
  <c r="D87" i="3" s="1"/>
  <c r="AG87" i="3"/>
  <c r="Y85" i="3"/>
  <c r="E87" i="3" l="1"/>
  <c r="H87" i="3" s="1"/>
  <c r="K87" i="3" s="1"/>
  <c r="G87" i="3"/>
  <c r="F87" i="3" l="1"/>
  <c r="V87" i="3"/>
  <c r="AE87" i="3"/>
  <c r="I87" i="3"/>
  <c r="J87" i="3"/>
  <c r="M87" i="3"/>
  <c r="N87" i="3" s="1"/>
  <c r="L87" i="3" l="1"/>
  <c r="W87" i="3"/>
  <c r="AG88" i="3" l="1"/>
  <c r="U87" i="3"/>
  <c r="E88" i="3" s="1"/>
  <c r="H88" i="3" s="1"/>
  <c r="AH88" i="3"/>
  <c r="Y86" i="3"/>
  <c r="D88" i="3" l="1"/>
  <c r="F88" i="3" s="1"/>
  <c r="K88" i="3"/>
  <c r="G88" i="3" l="1"/>
  <c r="I88" i="3" s="1"/>
  <c r="V88" i="3"/>
  <c r="AE88" i="3"/>
  <c r="M88" i="3" l="1"/>
  <c r="N88" i="3" s="1"/>
  <c r="J88" i="3"/>
  <c r="L88" i="3" s="1"/>
  <c r="W88" i="3"/>
  <c r="AG89" i="3" l="1"/>
  <c r="U88" i="3"/>
  <c r="D89" i="3" s="1"/>
  <c r="AH89" i="3"/>
  <c r="Y87" i="3"/>
  <c r="E89" i="3" l="1"/>
  <c r="H89" i="3" s="1"/>
  <c r="K89" i="3" s="1"/>
  <c r="G89" i="3"/>
  <c r="F89" i="3" l="1"/>
  <c r="V89" i="3"/>
  <c r="AE89" i="3"/>
  <c r="I89" i="3"/>
  <c r="J89" i="3"/>
  <c r="M89" i="3"/>
  <c r="N89" i="3" s="1"/>
  <c r="L89" i="3" l="1"/>
  <c r="W89" i="3"/>
  <c r="AH90" i="3" l="1"/>
  <c r="AG90" i="3"/>
  <c r="U89" i="3"/>
  <c r="D90" i="3" s="1"/>
  <c r="Y88" i="3"/>
  <c r="E90" i="3" l="1"/>
  <c r="H90" i="3" s="1"/>
  <c r="K90" i="3" s="1"/>
  <c r="G90" i="3"/>
  <c r="F90" i="3" l="1"/>
  <c r="V90" i="3"/>
  <c r="AE90" i="3"/>
  <c r="I90" i="3"/>
  <c r="J90" i="3"/>
  <c r="M90" i="3"/>
  <c r="N90" i="3" s="1"/>
  <c r="L90" i="3" l="1"/>
  <c r="W90" i="3"/>
  <c r="U90" i="3" l="1"/>
  <c r="D91" i="3" s="1"/>
  <c r="AG91" i="3"/>
  <c r="AH91" i="3"/>
  <c r="Y89" i="3"/>
  <c r="E91" i="3" l="1"/>
  <c r="H91" i="3" s="1"/>
  <c r="K91" i="3" s="1"/>
  <c r="G91" i="3"/>
  <c r="F91" i="3" l="1"/>
  <c r="I91" i="3"/>
  <c r="J91" i="3"/>
  <c r="M91" i="3"/>
  <c r="N91" i="3" s="1"/>
  <c r="V91" i="3"/>
  <c r="AE91" i="3"/>
  <c r="W91" i="3" l="1"/>
  <c r="L91" i="3"/>
  <c r="U91" i="3" l="1"/>
  <c r="E92" i="3" s="1"/>
  <c r="H92" i="3" s="1"/>
  <c r="AH92" i="3"/>
  <c r="AG92" i="3"/>
  <c r="Y90" i="3"/>
  <c r="D92" i="3" l="1"/>
  <c r="F92" i="3" s="1"/>
  <c r="K92" i="3"/>
  <c r="G92" i="3" l="1"/>
  <c r="I92" i="3" s="1"/>
  <c r="V92" i="3"/>
  <c r="AE92" i="3"/>
  <c r="M92" i="3" l="1"/>
  <c r="N92" i="3" s="1"/>
  <c r="J92" i="3"/>
  <c r="L92" i="3" s="1"/>
  <c r="W92" i="3"/>
  <c r="AG93" i="3" l="1"/>
  <c r="AH93" i="3"/>
  <c r="U92" i="3"/>
  <c r="E93" i="3" s="1"/>
  <c r="H93" i="3" s="1"/>
  <c r="Y91" i="3"/>
  <c r="D93" i="3" l="1"/>
  <c r="F93" i="3" s="1"/>
  <c r="K93" i="3"/>
  <c r="G93" i="3" l="1"/>
  <c r="I93" i="3" s="1"/>
  <c r="V93" i="3"/>
  <c r="AE93" i="3"/>
  <c r="M93" i="3" l="1"/>
  <c r="N93" i="3" s="1"/>
  <c r="J93" i="3"/>
  <c r="L93" i="3" s="1"/>
  <c r="W93" i="3"/>
  <c r="AH94" i="3" l="1"/>
  <c r="AG94" i="3"/>
  <c r="U93" i="3"/>
  <c r="D94" i="3" s="1"/>
  <c r="Y92" i="3"/>
  <c r="G94" i="3" l="1"/>
  <c r="E94" i="3"/>
  <c r="H94" i="3" s="1"/>
  <c r="K94" i="3" l="1"/>
  <c r="I94" i="3"/>
  <c r="J94" i="3"/>
  <c r="M94" i="3"/>
  <c r="N94" i="3" s="1"/>
  <c r="F94" i="3"/>
  <c r="V94" i="3" l="1"/>
  <c r="W94" i="3" s="1"/>
  <c r="AE94" i="3"/>
  <c r="L94" i="3"/>
  <c r="AH95" i="3" l="1"/>
  <c r="U94" i="3"/>
  <c r="E95" i="3" s="1"/>
  <c r="H95" i="3" s="1"/>
  <c r="AG95" i="3"/>
  <c r="Y93" i="3"/>
  <c r="D95" i="3" l="1"/>
  <c r="F95" i="3" s="1"/>
  <c r="K95" i="3"/>
  <c r="G95" i="3" l="1"/>
  <c r="I95" i="3" s="1"/>
  <c r="V95" i="3"/>
  <c r="AE95" i="3"/>
  <c r="M95" i="3" l="1"/>
  <c r="N95" i="3" s="1"/>
  <c r="J95" i="3"/>
  <c r="L95" i="3" s="1"/>
  <c r="W95" i="3"/>
  <c r="AH96" i="3" l="1"/>
  <c r="AG96" i="3"/>
  <c r="U95" i="3"/>
  <c r="E96" i="3" s="1"/>
  <c r="H96" i="3" s="1"/>
  <c r="Y94" i="3"/>
  <c r="K96" i="3" l="1"/>
  <c r="D96" i="3"/>
  <c r="F96" i="3" l="1"/>
  <c r="G96" i="3"/>
  <c r="V96" i="3"/>
  <c r="AE96" i="3"/>
  <c r="I96" i="3" l="1"/>
  <c r="W96" i="3" s="1"/>
  <c r="J96" i="3"/>
  <c r="M96" i="3"/>
  <c r="N96" i="3" s="1"/>
  <c r="L96" i="3" l="1"/>
  <c r="AH97" i="3" l="1"/>
  <c r="AG97" i="3"/>
  <c r="U96" i="3"/>
  <c r="E97" i="3" s="1"/>
  <c r="H97" i="3" s="1"/>
  <c r="Y95" i="3"/>
  <c r="K97" i="3" l="1"/>
  <c r="D97" i="3"/>
  <c r="F97" i="3" l="1"/>
  <c r="G97" i="3"/>
  <c r="V97" i="3"/>
  <c r="AE97" i="3"/>
  <c r="I97" i="3" l="1"/>
  <c r="W97" i="3" s="1"/>
  <c r="J97" i="3"/>
  <c r="M97" i="3"/>
  <c r="N97" i="3" s="1"/>
  <c r="L97" i="3" l="1"/>
  <c r="AH98" i="3" l="1"/>
  <c r="U97" i="3"/>
  <c r="D98" i="3" s="1"/>
  <c r="AG98" i="3"/>
  <c r="Y96" i="3"/>
  <c r="G98" i="3" l="1"/>
  <c r="E98" i="3"/>
  <c r="H98" i="3" s="1"/>
  <c r="K98" i="3" l="1"/>
  <c r="I98" i="3"/>
  <c r="J98" i="3"/>
  <c r="M98" i="3"/>
  <c r="N98" i="3" s="1"/>
  <c r="F98" i="3"/>
  <c r="L98" i="3" l="1"/>
  <c r="V98" i="3"/>
  <c r="W98" i="3" s="1"/>
  <c r="AE98" i="3"/>
  <c r="U98" i="3" l="1"/>
  <c r="E99" i="3" s="1"/>
  <c r="H99" i="3" s="1"/>
  <c r="AH99" i="3"/>
  <c r="AG99" i="3"/>
  <c r="Y97" i="3"/>
  <c r="D99" i="3" l="1"/>
  <c r="F99" i="3" s="1"/>
  <c r="K99" i="3"/>
  <c r="G99" i="3" l="1"/>
  <c r="I99" i="3" s="1"/>
  <c r="V99" i="3"/>
  <c r="AE99" i="3"/>
  <c r="M99" i="3" l="1"/>
  <c r="N99" i="3" s="1"/>
  <c r="W99" i="3"/>
  <c r="J99" i="3"/>
  <c r="L99" i="3" s="1"/>
  <c r="AH100" i="3" l="1"/>
  <c r="AG100" i="3"/>
  <c r="U99" i="3"/>
  <c r="E100" i="3" s="1"/>
  <c r="H100" i="3" s="1"/>
  <c r="Y98" i="3"/>
  <c r="K100" i="3" l="1"/>
  <c r="D100" i="3"/>
  <c r="F100" i="3" l="1"/>
  <c r="G100" i="3"/>
  <c r="V100" i="3"/>
  <c r="AE100" i="3"/>
  <c r="I100" i="3" l="1"/>
  <c r="W100" i="3" s="1"/>
  <c r="J100" i="3"/>
  <c r="M100" i="3"/>
  <c r="N100" i="3" s="1"/>
  <c r="L100" i="3" l="1"/>
  <c r="AG101" i="3" l="1"/>
  <c r="AH101" i="3"/>
  <c r="U100" i="3"/>
  <c r="D101" i="3" s="1"/>
  <c r="Y99" i="3"/>
  <c r="E101" i="3" l="1"/>
  <c r="H101" i="3" s="1"/>
  <c r="K101" i="3" s="1"/>
  <c r="G101" i="3"/>
  <c r="F101" i="3" l="1"/>
  <c r="V101" i="3"/>
  <c r="AE101" i="3"/>
  <c r="I101" i="3"/>
  <c r="J101" i="3"/>
  <c r="M101" i="3"/>
  <c r="N101" i="3" s="1"/>
  <c r="L101" i="3" l="1"/>
  <c r="W101" i="3"/>
  <c r="AH102" i="3" l="1"/>
  <c r="AG102" i="3"/>
  <c r="U101" i="3"/>
  <c r="E102" i="3" s="1"/>
  <c r="H102" i="3" s="1"/>
  <c r="Y100" i="3"/>
  <c r="D102" i="3" l="1"/>
  <c r="F102" i="3" s="1"/>
  <c r="K102" i="3"/>
  <c r="G102" i="3" l="1"/>
  <c r="I102" i="3" s="1"/>
  <c r="V102" i="3"/>
  <c r="AE102" i="3"/>
  <c r="J102" i="3" l="1"/>
  <c r="L102" i="3" s="1"/>
  <c r="M102" i="3"/>
  <c r="N102" i="3" s="1"/>
  <c r="W102" i="3"/>
  <c r="AG103" i="3" l="1"/>
  <c r="AH103" i="3"/>
  <c r="U102" i="3"/>
  <c r="D103" i="3" s="1"/>
  <c r="Y101" i="3"/>
  <c r="E103" i="3" l="1"/>
  <c r="H103" i="3" s="1"/>
  <c r="K103" i="3" s="1"/>
  <c r="G103" i="3"/>
  <c r="F103" i="3" l="1"/>
  <c r="I103" i="3"/>
  <c r="J103" i="3"/>
  <c r="M103" i="3"/>
  <c r="N103" i="3" s="1"/>
  <c r="V103" i="3"/>
  <c r="AE103" i="3"/>
  <c r="W103" i="3" l="1"/>
  <c r="L103" i="3"/>
  <c r="U103" i="3" l="1"/>
  <c r="D104" i="3" s="1"/>
  <c r="AG104" i="3"/>
  <c r="AH104" i="3"/>
  <c r="Y102" i="3"/>
  <c r="E104" i="3" l="1"/>
  <c r="H104" i="3" s="1"/>
  <c r="K104" i="3" s="1"/>
  <c r="G104" i="3"/>
  <c r="F104" i="3" l="1"/>
  <c r="I104" i="3"/>
  <c r="J104" i="3"/>
  <c r="M104" i="3"/>
  <c r="N104" i="3" s="1"/>
  <c r="V104" i="3"/>
  <c r="AE104" i="3"/>
  <c r="W104" i="3" l="1"/>
  <c r="L104" i="3"/>
  <c r="AD104" i="3"/>
  <c r="AG105" i="3" l="1"/>
  <c r="U104" i="3"/>
  <c r="E105" i="3" s="1"/>
  <c r="H105" i="3" s="1"/>
  <c r="AH105" i="3"/>
  <c r="Y103" i="3"/>
  <c r="D105" i="3" l="1"/>
  <c r="G105" i="3" s="1"/>
  <c r="K105" i="3"/>
  <c r="F105" i="3" l="1"/>
  <c r="I105" i="3"/>
  <c r="J105" i="3"/>
  <c r="M105" i="3"/>
  <c r="N105" i="3" s="1"/>
  <c r="V105" i="3"/>
  <c r="AE105" i="3"/>
  <c r="W105" i="3" l="1"/>
  <c r="L105" i="3"/>
  <c r="AH106" i="3" l="1"/>
  <c r="AG106" i="3"/>
  <c r="U105" i="3"/>
  <c r="D106" i="3" s="1"/>
  <c r="Y104" i="3"/>
  <c r="G106" i="3" l="1"/>
  <c r="E106" i="3"/>
  <c r="H106" i="3" s="1"/>
  <c r="I106" i="3" l="1"/>
  <c r="J106" i="3"/>
  <c r="M106" i="3"/>
  <c r="N106" i="3" s="1"/>
  <c r="K106" i="3"/>
  <c r="F106" i="3"/>
  <c r="V106" i="3" l="1"/>
  <c r="W106" i="3" s="1"/>
  <c r="AE106" i="3"/>
  <c r="L106" i="3"/>
  <c r="U106" i="3" l="1"/>
  <c r="E107" i="3" s="1"/>
  <c r="H107" i="3" s="1"/>
  <c r="AH107" i="3"/>
  <c r="AG107" i="3"/>
  <c r="Y105" i="3"/>
  <c r="K107" i="3" l="1"/>
  <c r="D107" i="3"/>
  <c r="F107" i="3" l="1"/>
  <c r="G107" i="3"/>
  <c r="V107" i="3"/>
  <c r="AE107" i="3"/>
  <c r="I107" i="3" l="1"/>
  <c r="W107" i="3" s="1"/>
  <c r="J107" i="3"/>
  <c r="M107" i="3"/>
  <c r="N107" i="3" s="1"/>
  <c r="L107" i="3" l="1"/>
  <c r="AG108" i="3" l="1"/>
  <c r="U107" i="3"/>
  <c r="D108" i="3" s="1"/>
  <c r="AH108" i="3"/>
  <c r="Y106" i="3"/>
  <c r="E108" i="3" l="1"/>
  <c r="H108" i="3" s="1"/>
  <c r="K108" i="3" s="1"/>
  <c r="G108" i="3"/>
  <c r="F108" i="3" l="1"/>
  <c r="I108" i="3"/>
  <c r="J108" i="3"/>
  <c r="M108" i="3"/>
  <c r="N108" i="3" s="1"/>
  <c r="V108" i="3"/>
  <c r="AE108" i="3"/>
  <c r="W108" i="3" l="1"/>
  <c r="L108" i="3"/>
  <c r="U108" i="3" l="1"/>
  <c r="D109" i="3" s="1"/>
  <c r="AH109" i="3"/>
  <c r="AG109" i="3"/>
  <c r="Y107" i="3"/>
  <c r="E109" i="3" l="1"/>
  <c r="H109" i="3" s="1"/>
  <c r="K109" i="3" s="1"/>
  <c r="G109" i="3"/>
  <c r="F109" i="3" l="1"/>
  <c r="I109" i="3"/>
  <c r="J109" i="3"/>
  <c r="M109" i="3"/>
  <c r="N109" i="3" s="1"/>
  <c r="V109" i="3"/>
  <c r="AE109" i="3"/>
  <c r="W109" i="3" l="1"/>
  <c r="L109" i="3"/>
  <c r="AH110" i="3" l="1"/>
  <c r="AG110" i="3"/>
  <c r="U109" i="3"/>
  <c r="E110" i="3" s="1"/>
  <c r="H110" i="3" s="1"/>
  <c r="Y108" i="3"/>
  <c r="D110" i="3" l="1"/>
  <c r="F110" i="3" s="1"/>
  <c r="K110" i="3"/>
  <c r="G110" i="3" l="1"/>
  <c r="I110" i="3" s="1"/>
  <c r="V110" i="3"/>
  <c r="AE110" i="3"/>
  <c r="M110" i="3" l="1"/>
  <c r="N110" i="3" s="1"/>
  <c r="J110" i="3"/>
  <c r="L110" i="3" s="1"/>
  <c r="W110" i="3"/>
  <c r="AG111" i="3" l="1"/>
  <c r="AH111" i="3"/>
  <c r="U110" i="3"/>
  <c r="E111" i="3" s="1"/>
  <c r="H111" i="3" s="1"/>
  <c r="Y109" i="3"/>
  <c r="D111" i="3" l="1"/>
  <c r="F111" i="3" s="1"/>
  <c r="K111" i="3"/>
  <c r="G111" i="3" l="1"/>
  <c r="I111" i="3" s="1"/>
  <c r="V111" i="3"/>
  <c r="AE111" i="3"/>
  <c r="W111" i="3" l="1"/>
  <c r="M111" i="3"/>
  <c r="N111" i="3" s="1"/>
  <c r="J111" i="3"/>
  <c r="L111" i="3" s="1"/>
  <c r="AG112" i="3" l="1"/>
  <c r="U111" i="3"/>
  <c r="E112" i="3" s="1"/>
  <c r="H112" i="3" s="1"/>
  <c r="AH112" i="3"/>
  <c r="Y110" i="3"/>
  <c r="D112" i="3" l="1"/>
  <c r="F112" i="3" s="1"/>
  <c r="K112" i="3"/>
  <c r="G112" i="3" l="1"/>
  <c r="I112" i="3" s="1"/>
  <c r="V112" i="3"/>
  <c r="AE112" i="3"/>
  <c r="J112" i="3" l="1"/>
  <c r="L112" i="3" s="1"/>
  <c r="M112" i="3"/>
  <c r="N112" i="3" s="1"/>
  <c r="W112" i="3"/>
  <c r="U112" i="3" l="1"/>
  <c r="D113" i="3" s="1"/>
  <c r="AH113" i="3"/>
  <c r="AG113" i="3"/>
  <c r="Y111" i="3"/>
  <c r="E113" i="3" l="1"/>
  <c r="H113" i="3" s="1"/>
  <c r="K113" i="3" s="1"/>
  <c r="G113" i="3"/>
  <c r="F113" i="3" l="1"/>
  <c r="I113" i="3"/>
  <c r="J113" i="3"/>
  <c r="M113" i="3"/>
  <c r="N113" i="3" s="1"/>
  <c r="V113" i="3"/>
  <c r="AE113" i="3"/>
  <c r="W113" i="3" l="1"/>
  <c r="L113" i="3"/>
  <c r="AH114" i="3" l="1"/>
  <c r="U113" i="3"/>
  <c r="E114" i="3" s="1"/>
  <c r="H114" i="3" s="1"/>
  <c r="AG114" i="3"/>
  <c r="Y112" i="3"/>
  <c r="D114" i="3" l="1"/>
  <c r="F114" i="3" s="1"/>
  <c r="K114" i="3"/>
  <c r="G114" i="3" l="1"/>
  <c r="I114" i="3" s="1"/>
  <c r="V114" i="3"/>
  <c r="AE114" i="3"/>
  <c r="M114" i="3" l="1"/>
  <c r="N114" i="3" s="1"/>
  <c r="J114" i="3"/>
  <c r="L114" i="3" s="1"/>
  <c r="W114" i="3"/>
  <c r="AG115" i="3" l="1"/>
  <c r="AH115" i="3"/>
  <c r="U114" i="3"/>
  <c r="E115" i="3" s="1"/>
  <c r="H115" i="3" s="1"/>
  <c r="Y113" i="3"/>
  <c r="K115" i="3" l="1"/>
  <c r="D115" i="3"/>
  <c r="V115" i="3" l="1"/>
  <c r="AE115" i="3"/>
  <c r="F115" i="3"/>
  <c r="G115" i="3"/>
  <c r="I115" i="3" l="1"/>
  <c r="W115" i="3" s="1"/>
  <c r="J115" i="3"/>
  <c r="M115" i="3"/>
  <c r="N115" i="3" s="1"/>
  <c r="L115" i="3" l="1"/>
  <c r="AG116" i="3" l="1"/>
  <c r="U115" i="3"/>
  <c r="E116" i="3" s="1"/>
  <c r="H116" i="3" s="1"/>
  <c r="AH116" i="3"/>
  <c r="Y114" i="3"/>
  <c r="D116" i="3" l="1"/>
  <c r="F116" i="3" s="1"/>
  <c r="K116" i="3"/>
  <c r="G116" i="3" l="1"/>
  <c r="I116" i="3" s="1"/>
  <c r="V116" i="3"/>
  <c r="AE116" i="3"/>
  <c r="M116" i="3" l="1"/>
  <c r="N116" i="3" s="1"/>
  <c r="J116" i="3"/>
  <c r="L116" i="3" s="1"/>
  <c r="W116" i="3"/>
  <c r="AH117" i="3" l="1"/>
  <c r="AG117" i="3"/>
  <c r="U116" i="3"/>
  <c r="D117" i="3" s="1"/>
  <c r="Y115" i="3"/>
  <c r="E117" i="3" l="1"/>
  <c r="H117" i="3" s="1"/>
  <c r="K117" i="3" s="1"/>
  <c r="G117" i="3"/>
  <c r="F117" i="3" l="1"/>
  <c r="V117" i="3"/>
  <c r="AE117" i="3"/>
  <c r="I117" i="3"/>
  <c r="J117" i="3"/>
  <c r="M117" i="3"/>
  <c r="N117" i="3" s="1"/>
  <c r="L117" i="3" l="1"/>
  <c r="W117" i="3"/>
  <c r="AH118" i="3" l="1"/>
  <c r="U117" i="3"/>
  <c r="D118" i="3" s="1"/>
  <c r="AG118" i="3"/>
  <c r="Y116" i="3"/>
  <c r="E118" i="3" l="1"/>
  <c r="H118" i="3" s="1"/>
  <c r="K118" i="3" s="1"/>
  <c r="G118" i="3"/>
  <c r="F118" i="3" l="1"/>
  <c r="V118" i="3"/>
  <c r="AE118" i="3"/>
  <c r="I118" i="3"/>
  <c r="J118" i="3"/>
  <c r="M118" i="3"/>
  <c r="N118" i="3" s="1"/>
  <c r="L118" i="3" l="1"/>
  <c r="W118" i="3"/>
  <c r="AG119" i="3" l="1"/>
  <c r="AH119" i="3"/>
  <c r="U118" i="3"/>
  <c r="D119" i="3" s="1"/>
  <c r="Y117" i="3"/>
  <c r="G119" i="3" l="1"/>
  <c r="E119" i="3"/>
  <c r="H119" i="3" s="1"/>
  <c r="K119" i="3" l="1"/>
  <c r="I119" i="3"/>
  <c r="J119" i="3"/>
  <c r="M119" i="3"/>
  <c r="N119" i="3" s="1"/>
  <c r="F119" i="3"/>
  <c r="L119" i="3" l="1"/>
  <c r="V119" i="3"/>
  <c r="W119" i="3" s="1"/>
  <c r="AE119" i="3"/>
  <c r="AG120" i="3" l="1"/>
  <c r="AH120" i="3"/>
  <c r="U119" i="3"/>
  <c r="D120" i="3" s="1"/>
  <c r="Y118" i="3"/>
  <c r="G120" i="3" l="1"/>
  <c r="E120" i="3"/>
  <c r="H120" i="3" s="1"/>
  <c r="I120" i="3" l="1"/>
  <c r="J120" i="3"/>
  <c r="M120" i="3"/>
  <c r="N120" i="3" s="1"/>
  <c r="K120" i="3"/>
  <c r="F120" i="3"/>
  <c r="V120" i="3" l="1"/>
  <c r="W120" i="3" s="1"/>
  <c r="AE120" i="3"/>
  <c r="L120" i="3"/>
  <c r="U120" i="3" l="1"/>
  <c r="E121" i="3" s="1"/>
  <c r="H121" i="3" s="1"/>
  <c r="AG121" i="3"/>
  <c r="AH121" i="3"/>
  <c r="Y119" i="3"/>
  <c r="D121" i="3" l="1"/>
  <c r="F121" i="3" s="1"/>
  <c r="K121" i="3"/>
  <c r="G121" i="3" l="1"/>
  <c r="I121" i="3" s="1"/>
  <c r="V121" i="3"/>
  <c r="AE121" i="3"/>
  <c r="M121" i="3" l="1"/>
  <c r="N121" i="3" s="1"/>
  <c r="J121" i="3"/>
  <c r="L121" i="3" s="1"/>
  <c r="W121" i="3"/>
  <c r="AH122" i="3" l="1"/>
  <c r="AG122" i="3"/>
  <c r="U121" i="3"/>
  <c r="D122" i="3" s="1"/>
  <c r="Y120" i="3"/>
  <c r="E122" i="3" l="1"/>
  <c r="H122" i="3" s="1"/>
  <c r="K122" i="3" s="1"/>
  <c r="G122" i="3"/>
  <c r="F122" i="3" l="1"/>
  <c r="I122" i="3"/>
  <c r="J122" i="3"/>
  <c r="M122" i="3"/>
  <c r="N122" i="3" s="1"/>
  <c r="V122" i="3"/>
  <c r="AE122" i="3"/>
  <c r="W122" i="3" l="1"/>
  <c r="L122" i="3"/>
  <c r="AH123" i="3" l="1"/>
  <c r="AG123" i="3"/>
  <c r="U122" i="3"/>
  <c r="D123" i="3" s="1"/>
  <c r="Y121" i="3"/>
  <c r="G123" i="3" l="1"/>
  <c r="E123" i="3"/>
  <c r="H123" i="3" s="1"/>
  <c r="K123" i="3" l="1"/>
  <c r="I123" i="3"/>
  <c r="J123" i="3"/>
  <c r="M123" i="3"/>
  <c r="N123" i="3" s="1"/>
  <c r="F123" i="3"/>
  <c r="L123" i="3" l="1"/>
  <c r="V123" i="3"/>
  <c r="W123" i="3" s="1"/>
  <c r="AE123" i="3"/>
  <c r="AH124" i="3" l="1"/>
  <c r="U123" i="3"/>
  <c r="E124" i="3" s="1"/>
  <c r="H124" i="3" s="1"/>
  <c r="AG124" i="3"/>
  <c r="Y122" i="3"/>
  <c r="D124" i="3" l="1"/>
  <c r="G124" i="3" s="1"/>
  <c r="K124" i="3"/>
  <c r="F124" i="3" l="1"/>
  <c r="I124" i="3"/>
  <c r="J124" i="3"/>
  <c r="M124" i="3"/>
  <c r="N124" i="3" s="1"/>
  <c r="V124" i="3"/>
  <c r="AE124" i="3"/>
  <c r="W124" i="3" l="1"/>
  <c r="L124" i="3"/>
  <c r="U124" i="3" l="1"/>
  <c r="E125" i="3" s="1"/>
  <c r="H125" i="3" s="1"/>
  <c r="AH125" i="3"/>
  <c r="AG125" i="3"/>
  <c r="Y123" i="3"/>
  <c r="D125" i="3" l="1"/>
  <c r="F125" i="3" s="1"/>
  <c r="K125" i="3"/>
  <c r="G125" i="3" l="1"/>
  <c r="I125" i="3" s="1"/>
  <c r="V125" i="3"/>
  <c r="AE125" i="3"/>
  <c r="J125" i="3" l="1"/>
  <c r="L125" i="3" s="1"/>
  <c r="M125" i="3"/>
  <c r="N125" i="3" s="1"/>
  <c r="W125" i="3"/>
  <c r="AH126" i="3" l="1"/>
  <c r="AG126" i="3"/>
  <c r="U125" i="3"/>
  <c r="E126" i="3" s="1"/>
  <c r="H126" i="3" s="1"/>
  <c r="Y124" i="3"/>
  <c r="K126" i="3" l="1"/>
  <c r="D126" i="3"/>
  <c r="V126" i="3" l="1"/>
  <c r="AE126" i="3"/>
  <c r="F126" i="3"/>
  <c r="G126" i="3"/>
  <c r="I126" i="3" l="1"/>
  <c r="W126" i="3" s="1"/>
  <c r="J126" i="3"/>
  <c r="M126" i="3"/>
  <c r="N126" i="3" s="1"/>
  <c r="L126" i="3" l="1"/>
  <c r="U126" i="3" l="1"/>
  <c r="E127" i="3" s="1"/>
  <c r="H127" i="3" s="1"/>
  <c r="AG127" i="3"/>
  <c r="AH127" i="3"/>
  <c r="Y125" i="3"/>
  <c r="D127" i="3" l="1"/>
  <c r="F127" i="3" s="1"/>
  <c r="K127" i="3"/>
  <c r="G127" i="3" l="1"/>
  <c r="J127" i="3" s="1"/>
  <c r="V127" i="3"/>
  <c r="AE127" i="3"/>
  <c r="M127" i="3" l="1"/>
  <c r="N127" i="3" s="1"/>
  <c r="I127" i="3"/>
  <c r="W127" i="3" s="1"/>
  <c r="L127" i="3"/>
  <c r="AG128" i="3" l="1"/>
  <c r="AH128" i="3"/>
  <c r="U127" i="3"/>
  <c r="D128" i="3" s="1"/>
  <c r="Y126" i="3"/>
  <c r="E128" i="3" l="1"/>
  <c r="H128" i="3" s="1"/>
  <c r="K128" i="3" s="1"/>
  <c r="G128" i="3"/>
  <c r="F128" i="3" l="1"/>
  <c r="I128" i="3"/>
  <c r="J128" i="3"/>
  <c r="M128" i="3"/>
  <c r="N128" i="3" s="1"/>
  <c r="V128" i="3"/>
  <c r="AE128" i="3"/>
  <c r="W128" i="3" l="1"/>
  <c r="L128" i="3"/>
  <c r="AH129" i="3" l="1"/>
  <c r="U128" i="3"/>
  <c r="D129" i="3" s="1"/>
  <c r="AG129" i="3"/>
  <c r="Y127" i="3"/>
  <c r="E129" i="3" l="1"/>
  <c r="H129" i="3" s="1"/>
  <c r="K129" i="3" s="1"/>
  <c r="G129" i="3"/>
  <c r="F129" i="3" l="1"/>
  <c r="V129" i="3"/>
  <c r="AE129" i="3"/>
  <c r="I129" i="3"/>
  <c r="J129" i="3"/>
  <c r="M129" i="3"/>
  <c r="N129" i="3" s="1"/>
  <c r="L129" i="3" l="1"/>
  <c r="W129" i="3"/>
  <c r="AH130" i="3" l="1"/>
  <c r="AG130" i="3"/>
  <c r="U129" i="3"/>
  <c r="D130" i="3" s="1"/>
  <c r="Y128" i="3"/>
  <c r="E130" i="3" l="1"/>
  <c r="H130" i="3" s="1"/>
  <c r="K130" i="3" s="1"/>
  <c r="G130" i="3"/>
  <c r="F130" i="3" l="1"/>
  <c r="V130" i="3"/>
  <c r="AE130" i="3"/>
  <c r="I130" i="3"/>
  <c r="J130" i="3"/>
  <c r="M130" i="3"/>
  <c r="N130" i="3" s="1"/>
  <c r="L130" i="3" l="1"/>
  <c r="W130" i="3"/>
  <c r="AG131" i="3" l="1"/>
  <c r="AH131" i="3"/>
  <c r="U130" i="3"/>
  <c r="E131" i="3" s="1"/>
  <c r="H131" i="3" s="1"/>
  <c r="Y129" i="3"/>
  <c r="K131" i="3" l="1"/>
  <c r="D131" i="3"/>
  <c r="V131" i="3" l="1"/>
  <c r="AE131" i="3"/>
  <c r="F131" i="3"/>
  <c r="G131" i="3"/>
  <c r="I131" i="3" l="1"/>
  <c r="W131" i="3" s="1"/>
  <c r="J131" i="3"/>
  <c r="M131" i="3"/>
  <c r="N131" i="3" s="1"/>
  <c r="L131" i="3" l="1"/>
  <c r="AG132" i="3" l="1"/>
  <c r="AH132" i="3"/>
  <c r="U131" i="3"/>
  <c r="E132" i="3" s="1"/>
  <c r="H132" i="3" s="1"/>
  <c r="Y130" i="3"/>
  <c r="D132" i="3" l="1"/>
  <c r="F132" i="3" s="1"/>
  <c r="K132" i="3"/>
  <c r="G132" i="3" l="1"/>
  <c r="I132" i="3" s="1"/>
  <c r="V132" i="3"/>
  <c r="AE132" i="3"/>
  <c r="M132" i="3" l="1"/>
  <c r="N132" i="3" s="1"/>
  <c r="J132" i="3"/>
  <c r="L132" i="3" s="1"/>
  <c r="W132" i="3"/>
  <c r="U132" i="3" l="1"/>
  <c r="E133" i="3" s="1"/>
  <c r="H133" i="3" s="1"/>
  <c r="AH133" i="3"/>
  <c r="AG133" i="3"/>
  <c r="Y131" i="3"/>
  <c r="D133" i="3" l="1"/>
  <c r="F133" i="3" s="1"/>
  <c r="K133" i="3"/>
  <c r="G133" i="3" l="1"/>
  <c r="I133" i="3" s="1"/>
  <c r="V133" i="3"/>
  <c r="AE133" i="3"/>
  <c r="M133" i="3" l="1"/>
  <c r="N133" i="3" s="1"/>
  <c r="J133" i="3"/>
  <c r="L133" i="3" s="1"/>
  <c r="W133" i="3"/>
  <c r="AH134" i="3" l="1"/>
  <c r="U133" i="3"/>
  <c r="E134" i="3" s="1"/>
  <c r="H134" i="3" s="1"/>
  <c r="AG134" i="3"/>
  <c r="Y132" i="3"/>
  <c r="D134" i="3" l="1"/>
  <c r="F134" i="3" s="1"/>
  <c r="K134" i="3"/>
  <c r="G134" i="3" l="1"/>
  <c r="I134" i="3" s="1"/>
  <c r="V134" i="3"/>
  <c r="AE134" i="3"/>
  <c r="M134" i="3" l="1"/>
  <c r="N134" i="3" s="1"/>
  <c r="J134" i="3"/>
  <c r="L134" i="3" s="1"/>
  <c r="W134" i="3"/>
  <c r="AH135" i="3" l="1"/>
  <c r="U134" i="3"/>
  <c r="E135" i="3" s="1"/>
  <c r="H135" i="3" s="1"/>
  <c r="AG135" i="3"/>
  <c r="Y133" i="3"/>
  <c r="D135" i="3" l="1"/>
  <c r="F135" i="3" s="1"/>
  <c r="K135" i="3"/>
  <c r="G135" i="3" l="1"/>
  <c r="I135" i="3" s="1"/>
  <c r="V135" i="3"/>
  <c r="AE135" i="3"/>
  <c r="M135" i="3" l="1"/>
  <c r="N135" i="3" s="1"/>
  <c r="J135" i="3"/>
  <c r="L135" i="3" s="1"/>
  <c r="W135" i="3"/>
  <c r="AG136" i="3" l="1"/>
  <c r="AH136" i="3"/>
  <c r="U135" i="3"/>
  <c r="D136" i="3" s="1"/>
  <c r="Y134" i="3"/>
  <c r="G136" i="3" l="1"/>
  <c r="E136" i="3"/>
  <c r="H136" i="3" s="1"/>
  <c r="K136" i="3" l="1"/>
  <c r="I136" i="3"/>
  <c r="J136" i="3"/>
  <c r="M136" i="3"/>
  <c r="N136" i="3" s="1"/>
  <c r="F136" i="3"/>
  <c r="L136" i="3" l="1"/>
  <c r="V136" i="3"/>
  <c r="W136" i="3" s="1"/>
  <c r="AE136" i="3"/>
  <c r="AG137" i="3" l="1"/>
  <c r="AH137" i="3"/>
  <c r="U136" i="3"/>
  <c r="D137" i="3" s="1"/>
  <c r="Y135" i="3"/>
  <c r="E137" i="3" l="1"/>
  <c r="H137" i="3" s="1"/>
  <c r="K137" i="3" s="1"/>
  <c r="G137" i="3"/>
  <c r="F137" i="3" l="1"/>
  <c r="V137" i="3"/>
  <c r="AE137" i="3"/>
  <c r="I137" i="3"/>
  <c r="J137" i="3"/>
  <c r="M137" i="3"/>
  <c r="N137" i="3" s="1"/>
  <c r="L137" i="3" l="1"/>
  <c r="W137" i="3"/>
  <c r="AG138" i="3" l="1"/>
  <c r="U137" i="3"/>
  <c r="E138" i="3" s="1"/>
  <c r="H138" i="3" s="1"/>
  <c r="AH138" i="3"/>
  <c r="Y136" i="3"/>
  <c r="D138" i="3" l="1"/>
  <c r="F138" i="3" s="1"/>
  <c r="K138" i="3"/>
  <c r="G138" i="3" l="1"/>
  <c r="I138" i="3" s="1"/>
  <c r="V138" i="3"/>
  <c r="AE138" i="3"/>
  <c r="M138" i="3" l="1"/>
  <c r="N138" i="3" s="1"/>
  <c r="J138" i="3"/>
  <c r="L138" i="3" s="1"/>
  <c r="W138" i="3"/>
  <c r="AG139" i="3" l="1"/>
  <c r="U138" i="3"/>
  <c r="E139" i="3" s="1"/>
  <c r="H139" i="3" s="1"/>
  <c r="AH139" i="3"/>
  <c r="Y137" i="3"/>
  <c r="D139" i="3" l="1"/>
  <c r="F139" i="3" s="1"/>
  <c r="K139" i="3"/>
  <c r="G139" i="3" l="1"/>
  <c r="I139" i="3" s="1"/>
  <c r="V139" i="3"/>
  <c r="AE139" i="3"/>
  <c r="M139" i="3" l="1"/>
  <c r="N139" i="3" s="1"/>
  <c r="J139" i="3"/>
  <c r="L139" i="3" s="1"/>
  <c r="W139" i="3"/>
  <c r="AH140" i="3" l="1"/>
  <c r="AG140" i="3"/>
  <c r="U139" i="3"/>
  <c r="D140" i="3" s="1"/>
  <c r="Y138" i="3"/>
  <c r="E140" i="3" l="1"/>
  <c r="H140" i="3" s="1"/>
  <c r="K140" i="3" s="1"/>
  <c r="G140" i="3"/>
  <c r="F140" i="3" l="1"/>
  <c r="V140" i="3"/>
  <c r="AE140" i="3"/>
  <c r="I140" i="3"/>
  <c r="J140" i="3"/>
  <c r="M140" i="3"/>
  <c r="N140" i="3" s="1"/>
  <c r="L140" i="3" l="1"/>
  <c r="W140" i="3"/>
  <c r="AH141" i="3" l="1"/>
  <c r="AG141" i="3"/>
  <c r="U140" i="3"/>
  <c r="D141" i="3" s="1"/>
  <c r="Y139" i="3"/>
  <c r="E141" i="3" l="1"/>
  <c r="H141" i="3" s="1"/>
  <c r="K141" i="3" s="1"/>
  <c r="G141" i="3"/>
  <c r="F141" i="3" l="1"/>
  <c r="I141" i="3"/>
  <c r="J141" i="3"/>
  <c r="M141" i="3"/>
  <c r="N141" i="3" s="1"/>
  <c r="V141" i="3"/>
  <c r="AE141" i="3"/>
  <c r="W141" i="3" l="1"/>
  <c r="L141" i="3"/>
  <c r="AH142" i="3" l="1"/>
  <c r="AG142" i="3"/>
  <c r="U141" i="3"/>
  <c r="D142" i="3" s="1"/>
  <c r="Y140" i="3"/>
  <c r="E142" i="3" l="1"/>
  <c r="H142" i="3" s="1"/>
  <c r="K142" i="3" s="1"/>
  <c r="G142" i="3"/>
  <c r="F142" i="3" l="1"/>
  <c r="I142" i="3"/>
  <c r="J142" i="3"/>
  <c r="M142" i="3"/>
  <c r="N142" i="3" s="1"/>
  <c r="V142" i="3"/>
  <c r="AE142" i="3"/>
  <c r="W142" i="3" l="1"/>
  <c r="L142" i="3"/>
  <c r="U142" i="3" l="1"/>
  <c r="E143" i="3" s="1"/>
  <c r="H143" i="3" s="1"/>
  <c r="AG143" i="3"/>
  <c r="AH143" i="3"/>
  <c r="Y141" i="3"/>
  <c r="D143" i="3" l="1"/>
  <c r="F143" i="3" s="1"/>
  <c r="K143" i="3"/>
  <c r="G143" i="3" l="1"/>
  <c r="I143" i="3" s="1"/>
  <c r="V143" i="3"/>
  <c r="AE143" i="3"/>
  <c r="M143" i="3" l="1"/>
  <c r="N143" i="3" s="1"/>
  <c r="J143" i="3"/>
  <c r="L143" i="3" s="1"/>
  <c r="W143" i="3"/>
  <c r="AH144" i="3" l="1"/>
  <c r="U143" i="3"/>
  <c r="E144" i="3" s="1"/>
  <c r="H144" i="3" s="1"/>
  <c r="AG144" i="3"/>
  <c r="Y142" i="3"/>
  <c r="D144" i="3" l="1"/>
  <c r="F144" i="3" s="1"/>
  <c r="K144" i="3"/>
  <c r="G144" i="3" l="1"/>
  <c r="I144" i="3" s="1"/>
  <c r="V144" i="3"/>
  <c r="AE144" i="3"/>
  <c r="M144" i="3" l="1"/>
  <c r="N144" i="3" s="1"/>
  <c r="J144" i="3"/>
  <c r="L144" i="3" s="1"/>
  <c r="W144" i="3"/>
  <c r="AG145" i="3" l="1"/>
  <c r="AH145" i="3"/>
  <c r="U144" i="3"/>
  <c r="D145" i="3" s="1"/>
  <c r="Y143" i="3"/>
  <c r="E145" i="3" l="1"/>
  <c r="H145" i="3" s="1"/>
  <c r="K145" i="3" s="1"/>
  <c r="G145" i="3"/>
  <c r="F145" i="3" l="1"/>
  <c r="V145" i="3"/>
  <c r="AE145" i="3"/>
  <c r="I145" i="3"/>
  <c r="J145" i="3"/>
  <c r="M145" i="3"/>
  <c r="N145" i="3" s="1"/>
  <c r="L145" i="3" l="1"/>
  <c r="W145" i="3"/>
  <c r="AH146" i="3" l="1"/>
  <c r="U145" i="3"/>
  <c r="E146" i="3" s="1"/>
  <c r="H146" i="3" s="1"/>
  <c r="AG146" i="3"/>
  <c r="Y144" i="3"/>
  <c r="D146" i="3" l="1"/>
  <c r="F146" i="3" s="1"/>
  <c r="K146" i="3"/>
  <c r="G146" i="3" l="1"/>
  <c r="I146" i="3" s="1"/>
  <c r="V146" i="3"/>
  <c r="AE146" i="3"/>
  <c r="M146" i="3" l="1"/>
  <c r="N146" i="3" s="1"/>
  <c r="J146" i="3"/>
  <c r="L146" i="3" s="1"/>
  <c r="W146" i="3"/>
  <c r="AG147" i="3" l="1"/>
  <c r="AH147" i="3"/>
  <c r="U146" i="3"/>
  <c r="E147" i="3" s="1"/>
  <c r="H147" i="3" s="1"/>
  <c r="Y145" i="3"/>
  <c r="K147" i="3" l="1"/>
  <c r="D147" i="3"/>
  <c r="F147" i="3" l="1"/>
  <c r="G147" i="3"/>
  <c r="V147" i="3"/>
  <c r="AE147" i="3"/>
  <c r="I147" i="3" l="1"/>
  <c r="W147" i="3" s="1"/>
  <c r="J147" i="3"/>
  <c r="M147" i="3"/>
  <c r="N147" i="3" s="1"/>
  <c r="L147" i="3" l="1"/>
  <c r="U147" i="3" l="1"/>
  <c r="E148" i="3" s="1"/>
  <c r="H148" i="3" s="1"/>
  <c r="AH148" i="3"/>
  <c r="AG148" i="3"/>
  <c r="Y146" i="3"/>
  <c r="D148" i="3" l="1"/>
  <c r="F148" i="3" s="1"/>
  <c r="K148" i="3"/>
  <c r="G148" i="3" l="1"/>
  <c r="M148" i="3" s="1"/>
  <c r="N148" i="3" s="1"/>
  <c r="V148" i="3"/>
  <c r="AE148" i="3"/>
  <c r="J148" i="3" l="1"/>
  <c r="L148" i="3" s="1"/>
  <c r="I148" i="3"/>
  <c r="W148" i="3" s="1"/>
  <c r="U148" i="3" l="1"/>
  <c r="D149" i="3" s="1"/>
  <c r="AH149" i="3"/>
  <c r="AG149" i="3"/>
  <c r="Y147" i="3"/>
  <c r="E149" i="3" l="1"/>
  <c r="H149" i="3" s="1"/>
  <c r="K149" i="3" s="1"/>
  <c r="G149" i="3"/>
  <c r="F149" i="3" l="1"/>
  <c r="I149" i="3"/>
  <c r="J149" i="3"/>
  <c r="M149" i="3"/>
  <c r="N149" i="3" s="1"/>
  <c r="V149" i="3"/>
  <c r="W149" i="3" s="1"/>
  <c r="AE149" i="3"/>
  <c r="L149" i="3" l="1"/>
  <c r="AG150" i="3" l="1"/>
  <c r="U149" i="3"/>
  <c r="E150" i="3" s="1"/>
  <c r="H150" i="3" s="1"/>
  <c r="AH150" i="3"/>
  <c r="Y148" i="3"/>
  <c r="D150" i="3" l="1"/>
  <c r="F150" i="3" s="1"/>
  <c r="K150" i="3"/>
  <c r="G150" i="3" l="1"/>
  <c r="M150" i="3" s="1"/>
  <c r="N150" i="3" s="1"/>
  <c r="V150" i="3"/>
  <c r="AE150" i="3"/>
  <c r="J150" i="3" l="1"/>
  <c r="L150" i="3" s="1"/>
  <c r="I150" i="3"/>
  <c r="W150" i="3" s="1"/>
  <c r="AG151" i="3" l="1"/>
  <c r="U150" i="3"/>
  <c r="E151" i="3" s="1"/>
  <c r="H151" i="3" s="1"/>
  <c r="AH151" i="3"/>
  <c r="Y149" i="3"/>
  <c r="D151" i="3" l="1"/>
  <c r="F151" i="3" s="1"/>
  <c r="K151" i="3"/>
  <c r="G151" i="3" l="1"/>
  <c r="I151" i="3" s="1"/>
  <c r="V151" i="3"/>
  <c r="AE151" i="3"/>
  <c r="M151" i="3" l="1"/>
  <c r="N151" i="3" s="1"/>
  <c r="J151" i="3"/>
  <c r="L151" i="3" s="1"/>
  <c r="W151" i="3"/>
  <c r="U151" i="3" l="1"/>
  <c r="D152" i="3" s="1"/>
  <c r="AG152" i="3"/>
  <c r="AH152" i="3"/>
  <c r="Y150" i="3"/>
  <c r="E152" i="3" l="1"/>
  <c r="H152" i="3" s="1"/>
  <c r="K152" i="3" s="1"/>
  <c r="G152" i="3"/>
  <c r="F152" i="3" l="1"/>
  <c r="V152" i="3"/>
  <c r="AE152" i="3"/>
  <c r="I152" i="3"/>
  <c r="J152" i="3"/>
  <c r="M152" i="3"/>
  <c r="N152" i="3" s="1"/>
  <c r="L152" i="3" l="1"/>
  <c r="W152" i="3"/>
  <c r="U152" i="3" l="1"/>
  <c r="D153" i="3" s="1"/>
  <c r="AG153" i="3"/>
  <c r="AH153" i="3"/>
  <c r="Y151" i="3"/>
  <c r="E153" i="3" l="1"/>
  <c r="H153" i="3" s="1"/>
  <c r="K153" i="3" s="1"/>
  <c r="G153" i="3"/>
  <c r="F153" i="3" l="1"/>
  <c r="I153" i="3"/>
  <c r="J153" i="3"/>
  <c r="M153" i="3"/>
  <c r="N153" i="3" s="1"/>
  <c r="V153" i="3"/>
  <c r="AE153" i="3"/>
  <c r="W153" i="3" l="1"/>
  <c r="L153" i="3"/>
  <c r="AH154" i="3" l="1"/>
  <c r="AG154" i="3"/>
  <c r="U153" i="3"/>
  <c r="E154" i="3" s="1"/>
  <c r="H154" i="3" s="1"/>
  <c r="Y152" i="3"/>
  <c r="D154" i="3" l="1"/>
  <c r="F154" i="3" s="1"/>
  <c r="K154" i="3"/>
  <c r="G154" i="3" l="1"/>
  <c r="I154" i="3" s="1"/>
  <c r="V154" i="3"/>
  <c r="AE154" i="3"/>
  <c r="M154" i="3" l="1"/>
  <c r="N154" i="3" s="1"/>
  <c r="J154" i="3"/>
  <c r="L154" i="3" s="1"/>
  <c r="W154" i="3"/>
  <c r="AH155" i="3" l="1"/>
  <c r="AG155" i="3"/>
  <c r="U154" i="3"/>
  <c r="D155" i="3" s="1"/>
  <c r="Y153" i="3"/>
  <c r="E155" i="3" l="1"/>
  <c r="H155" i="3" s="1"/>
  <c r="K155" i="3" s="1"/>
  <c r="G155" i="3"/>
  <c r="F155" i="3" l="1"/>
  <c r="V155" i="3"/>
  <c r="AE155" i="3"/>
  <c r="I155" i="3"/>
  <c r="J155" i="3"/>
  <c r="M155" i="3"/>
  <c r="N155" i="3" s="1"/>
  <c r="W155" i="3" l="1"/>
  <c r="L155" i="3"/>
  <c r="AH156" i="3" l="1"/>
  <c r="AG156" i="3"/>
  <c r="U155" i="3"/>
  <c r="E156" i="3" s="1"/>
  <c r="H156" i="3" s="1"/>
  <c r="Y154" i="3"/>
  <c r="D156" i="3" l="1"/>
  <c r="F156" i="3" s="1"/>
  <c r="K156" i="3"/>
  <c r="G156" i="3" l="1"/>
  <c r="I156" i="3" s="1"/>
  <c r="V156" i="3"/>
  <c r="AE156" i="3"/>
  <c r="M156" i="3" l="1"/>
  <c r="N156" i="3" s="1"/>
  <c r="J156" i="3"/>
  <c r="L156" i="3" s="1"/>
  <c r="W156" i="3"/>
  <c r="AG157" i="3" l="1"/>
  <c r="AH157" i="3"/>
  <c r="U156" i="3"/>
  <c r="E157" i="3" s="1"/>
  <c r="H157" i="3" s="1"/>
  <c r="Y155" i="3"/>
  <c r="D157" i="3" l="1"/>
  <c r="F157" i="3" s="1"/>
  <c r="K157" i="3"/>
  <c r="G157" i="3" l="1"/>
  <c r="I157" i="3" s="1"/>
  <c r="V157" i="3"/>
  <c r="AE157" i="3"/>
  <c r="M157" i="3" l="1"/>
  <c r="N157" i="3" s="1"/>
  <c r="J157" i="3"/>
  <c r="L157" i="3" s="1"/>
  <c r="W157" i="3"/>
  <c r="AG158" i="3" l="1"/>
  <c r="AH158" i="3"/>
  <c r="U157" i="3"/>
  <c r="D158" i="3" s="1"/>
  <c r="Y156" i="3"/>
  <c r="E158" i="3" l="1"/>
  <c r="H158" i="3" s="1"/>
  <c r="K158" i="3" s="1"/>
  <c r="G158" i="3"/>
  <c r="F158" i="3" l="1"/>
  <c r="V158" i="3"/>
  <c r="AE158" i="3"/>
  <c r="I158" i="3"/>
  <c r="J158" i="3"/>
  <c r="M158" i="3"/>
  <c r="N158" i="3" s="1"/>
  <c r="L158" i="3" l="1"/>
  <c r="W158" i="3"/>
  <c r="AH159" i="3" l="1"/>
  <c r="AG159" i="3"/>
  <c r="U158" i="3"/>
  <c r="D159" i="3" s="1"/>
  <c r="Y157" i="3"/>
  <c r="E159" i="3" l="1"/>
  <c r="H159" i="3" s="1"/>
  <c r="K159" i="3" s="1"/>
  <c r="G159" i="3"/>
  <c r="F159" i="3" l="1"/>
  <c r="V159" i="3"/>
  <c r="AE159" i="3"/>
  <c r="I159" i="3"/>
  <c r="J159" i="3"/>
  <c r="M159" i="3"/>
  <c r="N159" i="3" s="1"/>
  <c r="L159" i="3" l="1"/>
  <c r="W159" i="3"/>
  <c r="AG160" i="3" l="1"/>
  <c r="AH160" i="3"/>
  <c r="U159" i="3"/>
  <c r="E160" i="3" s="1"/>
  <c r="H160" i="3" s="1"/>
  <c r="Y158" i="3"/>
  <c r="D160" i="3" l="1"/>
  <c r="F160" i="3" s="1"/>
  <c r="K160" i="3"/>
  <c r="G160" i="3" l="1"/>
  <c r="I160" i="3" s="1"/>
  <c r="V160" i="3"/>
  <c r="AE160" i="3"/>
  <c r="W160" i="3" l="1"/>
  <c r="M160" i="3"/>
  <c r="N160" i="3" s="1"/>
  <c r="J160" i="3"/>
  <c r="L160" i="3" s="1"/>
  <c r="AG161" i="3" l="1"/>
  <c r="AH161" i="3"/>
  <c r="U160" i="3"/>
  <c r="E161" i="3" s="1"/>
  <c r="H161" i="3" s="1"/>
  <c r="Y159" i="3"/>
  <c r="D161" i="3" l="1"/>
  <c r="F161" i="3" s="1"/>
  <c r="K161" i="3"/>
  <c r="G161" i="3" l="1"/>
  <c r="J161" i="3" s="1"/>
  <c r="V161" i="3"/>
  <c r="AE161" i="3"/>
  <c r="I161" i="3" l="1"/>
  <c r="W161" i="3" s="1"/>
  <c r="M161" i="3"/>
  <c r="N161" i="3" s="1"/>
  <c r="L161" i="3"/>
  <c r="AG162" i="3" l="1"/>
  <c r="AH162" i="3"/>
  <c r="U161" i="3"/>
  <c r="E162" i="3" s="1"/>
  <c r="H162" i="3" s="1"/>
  <c r="Y160" i="3"/>
  <c r="D162" i="3" l="1"/>
  <c r="F162" i="3" s="1"/>
  <c r="K162" i="3"/>
  <c r="G162" i="3" l="1"/>
  <c r="I162" i="3" s="1"/>
  <c r="V162" i="3"/>
  <c r="AE162" i="3"/>
  <c r="M162" i="3" l="1"/>
  <c r="N162" i="3" s="1"/>
  <c r="J162" i="3"/>
  <c r="L162" i="3" s="1"/>
  <c r="W162" i="3"/>
  <c r="U162" i="3" l="1"/>
  <c r="E163" i="3" s="1"/>
  <c r="H163" i="3" s="1"/>
  <c r="AH163" i="3"/>
  <c r="AG163" i="3"/>
  <c r="Y161" i="3"/>
  <c r="D163" i="3" l="1"/>
  <c r="F163" i="3" s="1"/>
  <c r="K163" i="3"/>
  <c r="G163" i="3" l="1"/>
  <c r="I163" i="3" s="1"/>
  <c r="V163" i="3"/>
  <c r="AE163" i="3"/>
  <c r="M163" i="3" l="1"/>
  <c r="N163" i="3" s="1"/>
  <c r="J163" i="3"/>
  <c r="L163" i="3" s="1"/>
  <c r="W163" i="3"/>
  <c r="AH164" i="3" l="1"/>
  <c r="AG164" i="3"/>
  <c r="U163" i="3"/>
  <c r="D164" i="3" s="1"/>
  <c r="Y162" i="3"/>
  <c r="E164" i="3" l="1"/>
  <c r="H164" i="3" s="1"/>
  <c r="K164" i="3" s="1"/>
  <c r="G164" i="3"/>
  <c r="F164" i="3" l="1"/>
  <c r="V164" i="3"/>
  <c r="AE164" i="3"/>
  <c r="I164" i="3"/>
  <c r="J164" i="3"/>
  <c r="M164" i="3"/>
  <c r="N164" i="3" s="1"/>
  <c r="L164" i="3" l="1"/>
  <c r="W164" i="3"/>
  <c r="AH165" i="3" l="1"/>
  <c r="AG165" i="3"/>
  <c r="U164" i="3"/>
  <c r="D165" i="3" s="1"/>
  <c r="Y163" i="3"/>
  <c r="E165" i="3" l="1"/>
  <c r="H165" i="3" s="1"/>
  <c r="K165" i="3" s="1"/>
  <c r="G165" i="3"/>
  <c r="F165" i="3" l="1"/>
  <c r="V165" i="3"/>
  <c r="AE165" i="3"/>
  <c r="I165" i="3"/>
  <c r="J165" i="3"/>
  <c r="M165" i="3"/>
  <c r="N165" i="3" s="1"/>
  <c r="L165" i="3" l="1"/>
  <c r="W165" i="3"/>
  <c r="AG166" i="3" l="1"/>
  <c r="U165" i="3"/>
  <c r="E166" i="3" s="1"/>
  <c r="H166" i="3" s="1"/>
  <c r="AH166" i="3"/>
  <c r="Y164" i="3"/>
  <c r="D166" i="3" l="1"/>
  <c r="F166" i="3" s="1"/>
  <c r="K166" i="3"/>
  <c r="G166" i="3" l="1"/>
  <c r="I166" i="3" s="1"/>
  <c r="V166" i="3"/>
  <c r="AE166" i="3"/>
  <c r="M166" i="3" l="1"/>
  <c r="N166" i="3" s="1"/>
  <c r="J166" i="3"/>
  <c r="L166" i="3" s="1"/>
  <c r="W166" i="3"/>
  <c r="AH167" i="3" l="1"/>
  <c r="AG167" i="3"/>
  <c r="U166" i="3"/>
  <c r="E167" i="3" s="1"/>
  <c r="H167" i="3" s="1"/>
  <c r="Y165" i="3"/>
  <c r="D167" i="3" l="1"/>
  <c r="F167" i="3" s="1"/>
  <c r="K167" i="3"/>
  <c r="G167" i="3" l="1"/>
  <c r="I167" i="3" s="1"/>
  <c r="V167" i="3"/>
  <c r="AE167" i="3"/>
  <c r="M167" i="3" l="1"/>
  <c r="N167" i="3" s="1"/>
  <c r="W167" i="3"/>
  <c r="J167" i="3"/>
  <c r="L167" i="3" s="1"/>
  <c r="AH168" i="3" l="1"/>
  <c r="AG168" i="3"/>
  <c r="U167" i="3"/>
  <c r="E168" i="3" s="1"/>
  <c r="H168" i="3" s="1"/>
  <c r="Y166" i="3"/>
  <c r="K168" i="3" l="1"/>
  <c r="D168" i="3"/>
  <c r="F168" i="3" l="1"/>
  <c r="G168" i="3"/>
  <c r="V168" i="3"/>
  <c r="AE168" i="3"/>
  <c r="I168" i="3" l="1"/>
  <c r="W168" i="3" s="1"/>
  <c r="J168" i="3"/>
  <c r="M168" i="3"/>
  <c r="N168" i="3" s="1"/>
  <c r="L168" i="3" l="1"/>
  <c r="AG169" i="3" l="1"/>
  <c r="AH169" i="3"/>
  <c r="U168" i="3"/>
  <c r="E169" i="3" s="1"/>
  <c r="H169" i="3" s="1"/>
  <c r="Y167" i="3"/>
  <c r="D169" i="3" l="1"/>
  <c r="F169" i="3" s="1"/>
  <c r="K169" i="3"/>
  <c r="G169" i="3" l="1"/>
  <c r="I169" i="3" s="1"/>
  <c r="V169" i="3"/>
  <c r="AE169" i="3"/>
  <c r="M169" i="3" l="1"/>
  <c r="N169" i="3" s="1"/>
  <c r="J169" i="3"/>
  <c r="L169" i="3" s="1"/>
  <c r="W169" i="3"/>
  <c r="AG170" i="3" l="1"/>
  <c r="AH170" i="3"/>
  <c r="U169" i="3"/>
  <c r="E170" i="3" s="1"/>
  <c r="H170" i="3" s="1"/>
  <c r="Y168" i="3"/>
  <c r="K170" i="3" l="1"/>
  <c r="D170" i="3"/>
  <c r="F170" i="3" l="1"/>
  <c r="G170" i="3"/>
  <c r="V170" i="3"/>
  <c r="AE170" i="3"/>
  <c r="I170" i="3" l="1"/>
  <c r="W170" i="3" s="1"/>
  <c r="J170" i="3"/>
  <c r="M170" i="3"/>
  <c r="N170" i="3" s="1"/>
  <c r="L170" i="3" l="1"/>
  <c r="AG171" i="3" l="1"/>
  <c r="AH171" i="3"/>
  <c r="U170" i="3"/>
  <c r="D171" i="3" s="1"/>
  <c r="Y169" i="3"/>
  <c r="E171" i="3" l="1"/>
  <c r="H171" i="3" s="1"/>
  <c r="K171" i="3" s="1"/>
  <c r="G171" i="3"/>
  <c r="F171" i="3" l="1"/>
  <c r="V171" i="3"/>
  <c r="AE171" i="3"/>
  <c r="I171" i="3"/>
  <c r="J171" i="3"/>
  <c r="M171" i="3"/>
  <c r="N171" i="3" s="1"/>
  <c r="L171" i="3" l="1"/>
  <c r="W171" i="3"/>
  <c r="U171" i="3" l="1"/>
  <c r="D172" i="3" s="1"/>
  <c r="AG172" i="3"/>
  <c r="AH172" i="3"/>
  <c r="Y170" i="3"/>
  <c r="E172" i="3" l="1"/>
  <c r="H172" i="3" s="1"/>
  <c r="K172" i="3" s="1"/>
  <c r="G172" i="3"/>
  <c r="F172" i="3" l="1"/>
  <c r="V172" i="3"/>
  <c r="AE172" i="3"/>
  <c r="I172" i="3"/>
  <c r="J172" i="3"/>
  <c r="M172" i="3"/>
  <c r="N172" i="3" s="1"/>
  <c r="W172" i="3" l="1"/>
  <c r="L172" i="3"/>
  <c r="AG173" i="3" l="1"/>
  <c r="U172" i="3"/>
  <c r="D173" i="3" s="1"/>
  <c r="AH173" i="3"/>
  <c r="Y171" i="3"/>
  <c r="E173" i="3" l="1"/>
  <c r="H173" i="3" s="1"/>
  <c r="K173" i="3" s="1"/>
  <c r="G173" i="3"/>
  <c r="F173" i="3" l="1"/>
  <c r="V173" i="3"/>
  <c r="AE173" i="3"/>
  <c r="I173" i="3"/>
  <c r="J173" i="3"/>
  <c r="M173" i="3"/>
  <c r="N173" i="3" s="1"/>
  <c r="L173" i="3" l="1"/>
  <c r="W173" i="3"/>
  <c r="U173" i="3" l="1"/>
  <c r="D174" i="3" s="1"/>
  <c r="AG174" i="3"/>
  <c r="AH174" i="3"/>
  <c r="Y172" i="3"/>
  <c r="E174" i="3" l="1"/>
  <c r="H174" i="3" s="1"/>
  <c r="K174" i="3" s="1"/>
  <c r="G174" i="3"/>
  <c r="F174" i="3" l="1"/>
  <c r="V174" i="3"/>
  <c r="AE174" i="3"/>
  <c r="I174" i="3"/>
  <c r="J174" i="3"/>
  <c r="M174" i="3"/>
  <c r="N174" i="3" s="1"/>
  <c r="L174" i="3" l="1"/>
  <c r="W174" i="3"/>
  <c r="U174" i="3" l="1"/>
  <c r="D175" i="3" s="1"/>
  <c r="AG175" i="3"/>
  <c r="AH175" i="3"/>
  <c r="Y173" i="3"/>
  <c r="E175" i="3" l="1"/>
  <c r="H175" i="3" s="1"/>
  <c r="K175" i="3" s="1"/>
  <c r="G175" i="3"/>
  <c r="F175" i="3" l="1"/>
  <c r="I175" i="3"/>
  <c r="J175" i="3"/>
  <c r="M175" i="3"/>
  <c r="N175" i="3" s="1"/>
  <c r="V175" i="3"/>
  <c r="AE175" i="3"/>
  <c r="W175" i="3" l="1"/>
  <c r="L175" i="3"/>
  <c r="U175" i="3" l="1"/>
  <c r="D176" i="3" s="1"/>
  <c r="AG176" i="3"/>
  <c r="AH176" i="3"/>
  <c r="Y174" i="3"/>
  <c r="E176" i="3" l="1"/>
  <c r="H176" i="3" s="1"/>
  <c r="K176" i="3" s="1"/>
  <c r="G176" i="3"/>
  <c r="F176" i="3" l="1"/>
  <c r="V176" i="3"/>
  <c r="AE176" i="3"/>
  <c r="I176" i="3"/>
  <c r="J176" i="3"/>
  <c r="M176" i="3"/>
  <c r="N176" i="3" s="1"/>
  <c r="L176" i="3" l="1"/>
  <c r="W176" i="3"/>
  <c r="AH177" i="3" l="1"/>
  <c r="U176" i="3"/>
  <c r="E177" i="3" s="1"/>
  <c r="H177" i="3" s="1"/>
  <c r="AG177" i="3"/>
  <c r="Y175" i="3"/>
  <c r="D177" i="3" l="1"/>
  <c r="F177" i="3" s="1"/>
  <c r="K177" i="3"/>
  <c r="G177" i="3" l="1"/>
  <c r="I177" i="3" s="1"/>
  <c r="V177" i="3"/>
  <c r="AE177" i="3"/>
  <c r="J177" i="3" l="1"/>
  <c r="L177" i="3" s="1"/>
  <c r="M177" i="3"/>
  <c r="N177" i="3" s="1"/>
  <c r="W177" i="3"/>
  <c r="AH178" i="3" l="1"/>
  <c r="U177" i="3"/>
  <c r="E178" i="3" s="1"/>
  <c r="H178" i="3" s="1"/>
  <c r="AG178" i="3"/>
  <c r="Y176" i="3"/>
  <c r="D178" i="3" l="1"/>
  <c r="G178" i="3" s="1"/>
  <c r="K178" i="3"/>
  <c r="F178" i="3" l="1"/>
  <c r="I178" i="3"/>
  <c r="J178" i="3"/>
  <c r="M178" i="3"/>
  <c r="N178" i="3" s="1"/>
  <c r="V178" i="3"/>
  <c r="AE178" i="3"/>
  <c r="W178" i="3" l="1"/>
  <c r="L178" i="3"/>
  <c r="U178" i="3" l="1"/>
  <c r="D179" i="3" s="1"/>
  <c r="AG179" i="3"/>
  <c r="AH179" i="3"/>
  <c r="Y177" i="3"/>
  <c r="E179" i="3" l="1"/>
  <c r="H179" i="3" s="1"/>
  <c r="K179" i="3" s="1"/>
  <c r="G179" i="3"/>
  <c r="F179" i="3" l="1"/>
  <c r="I179" i="3"/>
  <c r="J179" i="3"/>
  <c r="M179" i="3"/>
  <c r="N179" i="3" s="1"/>
  <c r="V179" i="3"/>
  <c r="AE179" i="3"/>
  <c r="W179" i="3" l="1"/>
  <c r="L179" i="3"/>
  <c r="AG180" i="3" l="1"/>
  <c r="U179" i="3"/>
  <c r="D180" i="3" s="1"/>
  <c r="AH180" i="3"/>
  <c r="Y178" i="3"/>
  <c r="E180" i="3" l="1"/>
  <c r="H180" i="3" s="1"/>
  <c r="K180" i="3" s="1"/>
  <c r="G180" i="3"/>
  <c r="F180" i="3" l="1"/>
  <c r="V180" i="3"/>
  <c r="AE180" i="3"/>
  <c r="I180" i="3"/>
  <c r="J180" i="3"/>
  <c r="M180" i="3"/>
  <c r="N180" i="3" s="1"/>
  <c r="W180" i="3" l="1"/>
  <c r="L180" i="3"/>
  <c r="U180" i="3" l="1"/>
  <c r="E181" i="3" s="1"/>
  <c r="H181" i="3" s="1"/>
  <c r="AG181" i="3"/>
  <c r="AH181" i="3"/>
  <c r="Y179" i="3"/>
  <c r="D181" i="3" l="1"/>
  <c r="F181" i="3" s="1"/>
  <c r="K181" i="3"/>
  <c r="G181" i="3" l="1"/>
  <c r="I181" i="3" s="1"/>
  <c r="V181" i="3"/>
  <c r="AE181" i="3"/>
  <c r="M181" i="3" l="1"/>
  <c r="N181" i="3" s="1"/>
  <c r="J181" i="3"/>
  <c r="L181" i="3" s="1"/>
  <c r="W181" i="3"/>
  <c r="AH182" i="3" l="1"/>
  <c r="U181" i="3"/>
  <c r="E182" i="3" s="1"/>
  <c r="H182" i="3" s="1"/>
  <c r="AG182" i="3"/>
  <c r="Y180" i="3"/>
  <c r="D182" i="3" l="1"/>
  <c r="F182" i="3" s="1"/>
  <c r="K182" i="3"/>
  <c r="G182" i="3" l="1"/>
  <c r="I182" i="3" s="1"/>
  <c r="V182" i="3"/>
  <c r="AE182" i="3"/>
  <c r="M182" i="3" l="1"/>
  <c r="N182" i="3" s="1"/>
  <c r="J182" i="3"/>
  <c r="L182" i="3" s="1"/>
  <c r="W182" i="3"/>
  <c r="U182" i="3" l="1"/>
  <c r="D183" i="3" s="1"/>
  <c r="AH183" i="3"/>
  <c r="AG183" i="3"/>
  <c r="Y181" i="3"/>
  <c r="E183" i="3" l="1"/>
  <c r="H183" i="3" s="1"/>
  <c r="K183" i="3" s="1"/>
  <c r="G183" i="3"/>
  <c r="F183" i="3" l="1"/>
  <c r="I183" i="3"/>
  <c r="J183" i="3"/>
  <c r="M183" i="3"/>
  <c r="N183" i="3" s="1"/>
  <c r="V183" i="3"/>
  <c r="AE183" i="3"/>
  <c r="W183" i="3" l="1"/>
  <c r="L183" i="3"/>
  <c r="AG184" i="3" l="1"/>
  <c r="AH184" i="3"/>
  <c r="U183" i="3"/>
  <c r="D184" i="3" s="1"/>
  <c r="Y182" i="3"/>
  <c r="E184" i="3" l="1"/>
  <c r="H184" i="3" s="1"/>
  <c r="K184" i="3" s="1"/>
  <c r="G184" i="3"/>
  <c r="F184" i="3" l="1"/>
  <c r="V184" i="3"/>
  <c r="AE184" i="3"/>
  <c r="I184" i="3"/>
  <c r="J184" i="3"/>
  <c r="M184" i="3"/>
  <c r="N184" i="3" s="1"/>
  <c r="L184" i="3" l="1"/>
  <c r="W184" i="3"/>
  <c r="AG185" i="3" l="1"/>
  <c r="U184" i="3"/>
  <c r="E185" i="3" s="1"/>
  <c r="H185" i="3" s="1"/>
  <c r="AH185" i="3"/>
  <c r="Y183" i="3"/>
  <c r="D185" i="3" l="1"/>
  <c r="F185" i="3" s="1"/>
  <c r="K185" i="3"/>
  <c r="G185" i="3" l="1"/>
  <c r="I185" i="3" s="1"/>
  <c r="V185" i="3"/>
  <c r="AE185" i="3"/>
  <c r="J185" i="3" l="1"/>
  <c r="L185" i="3" s="1"/>
  <c r="M185" i="3"/>
  <c r="N185" i="3" s="1"/>
  <c r="W185" i="3"/>
  <c r="AH186" i="3" l="1"/>
  <c r="AG186" i="3"/>
  <c r="U185" i="3"/>
  <c r="E186" i="3" s="1"/>
  <c r="H186" i="3" s="1"/>
  <c r="Y184" i="3"/>
  <c r="D186" i="3" l="1"/>
  <c r="F186" i="3" s="1"/>
  <c r="K186" i="3"/>
  <c r="G186" i="3" l="1"/>
  <c r="I186" i="3" s="1"/>
  <c r="V186" i="3"/>
  <c r="AE186" i="3"/>
  <c r="W186" i="3" l="1"/>
  <c r="J186" i="3"/>
  <c r="L186" i="3" s="1"/>
  <c r="M186" i="3"/>
  <c r="N186" i="3" s="1"/>
  <c r="AG187" i="3" l="1"/>
  <c r="U186" i="3"/>
  <c r="D187" i="3" s="1"/>
  <c r="AH187" i="3"/>
  <c r="Y185" i="3"/>
  <c r="E187" i="3" l="1"/>
  <c r="H187" i="3" s="1"/>
  <c r="K187" i="3" s="1"/>
  <c r="G187" i="3"/>
  <c r="F187" i="3" l="1"/>
  <c r="I187" i="3"/>
  <c r="J187" i="3"/>
  <c r="M187" i="3"/>
  <c r="N187" i="3" s="1"/>
  <c r="V187" i="3"/>
  <c r="AE187" i="3"/>
  <c r="W187" i="3" l="1"/>
  <c r="L187" i="3"/>
  <c r="AH188" i="3" l="1"/>
  <c r="AG188" i="3"/>
  <c r="U187" i="3"/>
  <c r="D188" i="3" s="1"/>
  <c r="Y186" i="3"/>
  <c r="G188" i="3" l="1"/>
  <c r="E188" i="3"/>
  <c r="H188" i="3" s="1"/>
  <c r="K188" i="3" l="1"/>
  <c r="I188" i="3"/>
  <c r="J188" i="3"/>
  <c r="M188" i="3"/>
  <c r="N188" i="3" s="1"/>
  <c r="F188" i="3"/>
  <c r="L188" i="3" l="1"/>
  <c r="V188" i="3"/>
  <c r="W188" i="3" s="1"/>
  <c r="AE188" i="3"/>
  <c r="AH189" i="3" l="1"/>
  <c r="AG189" i="3"/>
  <c r="U188" i="3"/>
  <c r="E189" i="3" s="1"/>
  <c r="H189" i="3" s="1"/>
  <c r="Y187" i="3"/>
  <c r="D189" i="3" l="1"/>
  <c r="F189" i="3" s="1"/>
  <c r="K189" i="3"/>
  <c r="G189" i="3" l="1"/>
  <c r="I189" i="3" s="1"/>
  <c r="V189" i="3"/>
  <c r="AE189" i="3"/>
  <c r="M189" i="3" l="1"/>
  <c r="N189" i="3" s="1"/>
  <c r="J189" i="3"/>
  <c r="L189" i="3" s="1"/>
  <c r="W189" i="3"/>
  <c r="AG190" i="3" l="1"/>
  <c r="AH190" i="3"/>
  <c r="U189" i="3"/>
  <c r="D190" i="3" s="1"/>
  <c r="Y188" i="3"/>
  <c r="E190" i="3" l="1"/>
  <c r="H190" i="3" s="1"/>
  <c r="K190" i="3" s="1"/>
  <c r="G190" i="3"/>
  <c r="F190" i="3" l="1"/>
  <c r="V190" i="3"/>
  <c r="AE190" i="3"/>
  <c r="I190" i="3"/>
  <c r="J190" i="3"/>
  <c r="M190" i="3"/>
  <c r="N190" i="3" s="1"/>
  <c r="L190" i="3" l="1"/>
  <c r="W190" i="3"/>
  <c r="AG191" i="3" l="1"/>
  <c r="AH191" i="3"/>
  <c r="U190" i="3"/>
  <c r="E191" i="3" s="1"/>
  <c r="H191" i="3" s="1"/>
  <c r="Y189" i="3"/>
  <c r="D191" i="3" l="1"/>
  <c r="F191" i="3" s="1"/>
  <c r="K191" i="3"/>
  <c r="G191" i="3" l="1"/>
  <c r="I191" i="3" s="1"/>
  <c r="V191" i="3"/>
  <c r="AE191" i="3"/>
  <c r="W191" i="3" l="1"/>
  <c r="M191" i="3"/>
  <c r="N191" i="3" s="1"/>
  <c r="J191" i="3"/>
  <c r="L191" i="3" s="1"/>
  <c r="AH192" i="3" l="1"/>
  <c r="U191" i="3"/>
  <c r="D192" i="3" s="1"/>
  <c r="AG192" i="3"/>
  <c r="Y190" i="3"/>
  <c r="E192" i="3" l="1"/>
  <c r="H192" i="3" s="1"/>
  <c r="K192" i="3" s="1"/>
  <c r="G192" i="3"/>
  <c r="F192" i="3" l="1"/>
  <c r="V192" i="3"/>
  <c r="AE192" i="3"/>
  <c r="I192" i="3"/>
  <c r="J192" i="3"/>
  <c r="M192" i="3"/>
  <c r="N192" i="3" s="1"/>
  <c r="L192" i="3" l="1"/>
  <c r="W192" i="3"/>
  <c r="AH193" i="3" l="1"/>
  <c r="U192" i="3"/>
  <c r="E193" i="3" s="1"/>
  <c r="H193" i="3" s="1"/>
  <c r="AG193" i="3"/>
  <c r="Y191" i="3"/>
  <c r="D193" i="3" l="1"/>
  <c r="F193" i="3" s="1"/>
  <c r="K193" i="3"/>
  <c r="G193" i="3" l="1"/>
  <c r="J193" i="3" s="1"/>
  <c r="V193" i="3"/>
  <c r="AE193" i="3"/>
  <c r="I193" i="3" l="1"/>
  <c r="W193" i="3" s="1"/>
  <c r="M193" i="3"/>
  <c r="N193" i="3" s="1"/>
  <c r="L193" i="3"/>
  <c r="U193" i="3" l="1"/>
  <c r="E194" i="3" s="1"/>
  <c r="H194" i="3" s="1"/>
  <c r="AG194" i="3"/>
  <c r="AH194" i="3"/>
  <c r="Y192" i="3"/>
  <c r="D194" i="3" l="1"/>
  <c r="F194" i="3" s="1"/>
  <c r="K194" i="3"/>
  <c r="G194" i="3" l="1"/>
  <c r="I194" i="3" s="1"/>
  <c r="V194" i="3"/>
  <c r="AE194" i="3"/>
  <c r="J194" i="3" l="1"/>
  <c r="L194" i="3" s="1"/>
  <c r="M194" i="3"/>
  <c r="N194" i="3" s="1"/>
  <c r="W194" i="3"/>
  <c r="U194" i="3" l="1"/>
  <c r="E195" i="3" s="1"/>
  <c r="H195" i="3" s="1"/>
  <c r="AH195" i="3"/>
  <c r="AG195" i="3"/>
  <c r="Y193" i="3"/>
  <c r="D195" i="3" l="1"/>
  <c r="F195" i="3" s="1"/>
  <c r="K195" i="3"/>
  <c r="G195" i="3" l="1"/>
  <c r="J195" i="3" s="1"/>
  <c r="V195" i="3"/>
  <c r="AE195" i="3"/>
  <c r="I195" i="3" l="1"/>
  <c r="W195" i="3" s="1"/>
  <c r="M195" i="3"/>
  <c r="N195" i="3" s="1"/>
  <c r="L195" i="3"/>
  <c r="AH196" i="3" l="1"/>
  <c r="U195" i="3"/>
  <c r="E196" i="3" s="1"/>
  <c r="H196" i="3" s="1"/>
  <c r="AG196" i="3"/>
  <c r="Y194" i="3"/>
  <c r="K196" i="3" l="1"/>
  <c r="D196" i="3"/>
  <c r="F196" i="3" l="1"/>
  <c r="G196" i="3"/>
  <c r="V196" i="3"/>
  <c r="AE196" i="3"/>
  <c r="I196" i="3" l="1"/>
  <c r="W196" i="3" s="1"/>
  <c r="J196" i="3"/>
  <c r="M196" i="3"/>
  <c r="N196" i="3" s="1"/>
  <c r="L196" i="3" l="1"/>
  <c r="AH197" i="3" l="1"/>
  <c r="U196" i="3"/>
  <c r="D197" i="3" s="1"/>
  <c r="AG197" i="3"/>
  <c r="Y195" i="3"/>
  <c r="E197" i="3" l="1"/>
  <c r="H197" i="3" s="1"/>
  <c r="K197" i="3" s="1"/>
  <c r="G197" i="3"/>
  <c r="F197" i="3" l="1"/>
  <c r="I197" i="3"/>
  <c r="J197" i="3"/>
  <c r="M197" i="3"/>
  <c r="N197" i="3" s="1"/>
  <c r="V197" i="3"/>
  <c r="AE197" i="3"/>
  <c r="W197" i="3" l="1"/>
  <c r="L197" i="3"/>
  <c r="U197" i="3" l="1"/>
  <c r="E198" i="3" s="1"/>
  <c r="H198" i="3" s="1"/>
  <c r="AG198" i="3"/>
  <c r="AH198" i="3"/>
  <c r="Y196" i="3"/>
  <c r="D198" i="3" l="1"/>
  <c r="F198" i="3" s="1"/>
  <c r="K198" i="3"/>
  <c r="G198" i="3" l="1"/>
  <c r="I198" i="3" s="1"/>
  <c r="V198" i="3"/>
  <c r="AE198" i="3"/>
  <c r="M198" i="3" l="1"/>
  <c r="N198" i="3" s="1"/>
  <c r="J198" i="3"/>
  <c r="L198" i="3" s="1"/>
  <c r="W198" i="3"/>
  <c r="AH199" i="3" l="1"/>
  <c r="AG199" i="3"/>
  <c r="U198" i="3"/>
  <c r="E199" i="3" s="1"/>
  <c r="H199" i="3" s="1"/>
  <c r="Y197" i="3"/>
  <c r="K199" i="3" l="1"/>
  <c r="D199" i="3"/>
  <c r="F199" i="3" l="1"/>
  <c r="G199" i="3"/>
  <c r="V199" i="3"/>
  <c r="AE199" i="3"/>
  <c r="I199" i="3" l="1"/>
  <c r="W199" i="3" s="1"/>
  <c r="J199" i="3"/>
  <c r="M199" i="3"/>
  <c r="N199" i="3" s="1"/>
  <c r="L199" i="3" l="1"/>
  <c r="AH200" i="3" l="1"/>
  <c r="AG200" i="3"/>
  <c r="U199" i="3"/>
  <c r="D200" i="3" s="1"/>
  <c r="Y198" i="3"/>
  <c r="E200" i="3" l="1"/>
  <c r="H200" i="3" s="1"/>
  <c r="K200" i="3" s="1"/>
  <c r="G200" i="3"/>
  <c r="F200" i="3" l="1"/>
  <c r="I200" i="3"/>
  <c r="J200" i="3"/>
  <c r="M200" i="3"/>
  <c r="N200" i="3" s="1"/>
  <c r="V200" i="3"/>
  <c r="AE200" i="3"/>
  <c r="W200" i="3" l="1"/>
  <c r="L200" i="3"/>
  <c r="AG201" i="3" l="1"/>
  <c r="AH201" i="3"/>
  <c r="U200" i="3"/>
  <c r="D201" i="3" s="1"/>
  <c r="Y199" i="3"/>
  <c r="E201" i="3" l="1"/>
  <c r="H201" i="3" s="1"/>
  <c r="K201" i="3" s="1"/>
  <c r="G201" i="3"/>
  <c r="F201" i="3" l="1"/>
  <c r="V201" i="3"/>
  <c r="AE201" i="3"/>
  <c r="I201" i="3"/>
  <c r="J201" i="3"/>
  <c r="M201" i="3"/>
  <c r="N201" i="3" s="1"/>
  <c r="L201" i="3" l="1"/>
  <c r="W201" i="3"/>
  <c r="AH202" i="3" l="1"/>
  <c r="AG202" i="3"/>
  <c r="U201" i="3"/>
  <c r="D202" i="3" s="1"/>
  <c r="Y200" i="3"/>
  <c r="E202" i="3" l="1"/>
  <c r="H202" i="3" s="1"/>
  <c r="K202" i="3" s="1"/>
  <c r="G202" i="3"/>
  <c r="F202" i="3" l="1"/>
  <c r="V202" i="3"/>
  <c r="AE202" i="3"/>
  <c r="I202" i="3"/>
  <c r="J202" i="3"/>
  <c r="M202" i="3"/>
  <c r="N202" i="3" s="1"/>
  <c r="L202" i="3" l="1"/>
  <c r="W202" i="3"/>
  <c r="AH203" i="3" l="1"/>
  <c r="AG203" i="3"/>
  <c r="U202" i="3"/>
  <c r="D203" i="3" s="1"/>
  <c r="Y201" i="3"/>
  <c r="E203" i="3" l="1"/>
  <c r="H203" i="3" s="1"/>
  <c r="K203" i="3" s="1"/>
  <c r="G203" i="3"/>
  <c r="F203" i="3" l="1"/>
  <c r="V203" i="3"/>
  <c r="AE203" i="3"/>
  <c r="I203" i="3"/>
  <c r="J203" i="3"/>
  <c r="M203" i="3"/>
  <c r="N203" i="3" s="1"/>
  <c r="L203" i="3" l="1"/>
  <c r="W203" i="3"/>
  <c r="U203" i="3" l="1"/>
  <c r="E204" i="3" s="1"/>
  <c r="H204" i="3" s="1"/>
  <c r="AH204" i="3"/>
  <c r="AG204" i="3"/>
  <c r="Y202" i="3"/>
  <c r="D204" i="3" l="1"/>
  <c r="F204" i="3" s="1"/>
  <c r="K204" i="3"/>
  <c r="G204" i="3" l="1"/>
  <c r="J204" i="3" s="1"/>
  <c r="V204" i="3"/>
  <c r="A205" i="3"/>
  <c r="B205" i="3" s="1"/>
  <c r="AE204" i="3"/>
  <c r="M204" i="3" l="1"/>
  <c r="N204" i="3" s="1"/>
  <c r="I204" i="3"/>
  <c r="W204" i="3" s="1"/>
  <c r="L204" i="3"/>
  <c r="AD204" i="3"/>
  <c r="Z205" i="3"/>
  <c r="AA205" i="3"/>
  <c r="AC205" i="3"/>
  <c r="P205" i="3"/>
  <c r="Q205" i="3" s="1"/>
  <c r="R205" i="3" s="1"/>
  <c r="S205" i="3" s="1"/>
  <c r="U204" i="3" l="1"/>
  <c r="Y203" i="3"/>
  <c r="T205" i="3"/>
  <c r="D205" i="3" l="1"/>
  <c r="G205" i="3" s="1"/>
  <c r="AH205" i="3"/>
  <c r="AG205" i="3"/>
  <c r="E205" i="3"/>
  <c r="H205" i="3" s="1"/>
  <c r="K205" i="3" s="1"/>
  <c r="F205" i="3" l="1"/>
  <c r="V205" i="3"/>
  <c r="AE205" i="3"/>
  <c r="A206" i="3"/>
  <c r="B206" i="3" s="1"/>
  <c r="I205" i="3"/>
  <c r="J205" i="3"/>
  <c r="AD205" i="3" s="1"/>
  <c r="M205" i="3"/>
  <c r="N205" i="3" s="1"/>
  <c r="AC206" i="3" l="1"/>
  <c r="P206" i="3"/>
  <c r="Q206" i="3" s="1"/>
  <c r="R206" i="3" s="1"/>
  <c r="S206" i="3" s="1"/>
  <c r="Z206" i="3"/>
  <c r="AA206" i="3"/>
  <c r="L205" i="3"/>
  <c r="W205" i="3"/>
  <c r="T206" i="3" l="1"/>
  <c r="AH206" i="3" s="1"/>
  <c r="U205" i="3"/>
  <c r="Y204" i="3"/>
  <c r="E206" i="3" l="1"/>
  <c r="H206" i="3" s="1"/>
  <c r="K206" i="3" s="1"/>
  <c r="D206" i="3"/>
  <c r="G206" i="3" s="1"/>
  <c r="AG206" i="3"/>
  <c r="F206" i="3" l="1"/>
  <c r="I206" i="3"/>
  <c r="J206" i="3"/>
  <c r="AD206" i="3" s="1"/>
  <c r="M206" i="3"/>
  <c r="N206" i="3" s="1"/>
  <c r="V206" i="3"/>
  <c r="AE206" i="3"/>
  <c r="A207" i="3"/>
  <c r="B207" i="3" s="1"/>
  <c r="W206" i="3" l="1"/>
  <c r="L206" i="3"/>
  <c r="P207" i="3"/>
  <c r="Q207" i="3" s="1"/>
  <c r="R207" i="3" s="1"/>
  <c r="S207" i="3" s="1"/>
  <c r="AA207" i="3"/>
  <c r="AC207" i="3"/>
  <c r="Z207" i="3"/>
  <c r="T207" i="3" l="1"/>
  <c r="AG207" i="3" s="1"/>
  <c r="U206" i="3"/>
  <c r="Y205" i="3"/>
  <c r="D207" i="3" l="1"/>
  <c r="G207" i="3" s="1"/>
  <c r="E207" i="3"/>
  <c r="H207" i="3" s="1"/>
  <c r="K207" i="3" s="1"/>
  <c r="AH207" i="3"/>
  <c r="F207" i="3" l="1"/>
  <c r="V207" i="3"/>
  <c r="AE207" i="3"/>
  <c r="A208" i="3"/>
  <c r="B208" i="3" s="1"/>
  <c r="I207" i="3"/>
  <c r="J207" i="3"/>
  <c r="AD207" i="3" s="1"/>
  <c r="M207" i="3"/>
  <c r="N207" i="3" s="1"/>
  <c r="P208" i="3" l="1"/>
  <c r="Q208" i="3" s="1"/>
  <c r="R208" i="3" s="1"/>
  <c r="S208" i="3" s="1"/>
  <c r="Z208" i="3"/>
  <c r="AC208" i="3"/>
  <c r="AA208" i="3"/>
  <c r="L207" i="3"/>
  <c r="W207" i="3"/>
  <c r="T208" i="3" l="1"/>
  <c r="AG208" i="3" s="1"/>
  <c r="U207" i="3"/>
  <c r="Y206" i="3"/>
  <c r="AH208" i="3" l="1"/>
  <c r="D208" i="3"/>
  <c r="G208" i="3" s="1"/>
  <c r="E208" i="3"/>
  <c r="H208" i="3" s="1"/>
  <c r="K208" i="3" s="1"/>
  <c r="F208" i="3" l="1"/>
  <c r="V208" i="3"/>
  <c r="AE208" i="3"/>
  <c r="A209" i="3"/>
  <c r="B209" i="3" s="1"/>
  <c r="I208" i="3"/>
  <c r="J208" i="3"/>
  <c r="AD208" i="3" s="1"/>
  <c r="M208" i="3"/>
  <c r="N208" i="3" s="1"/>
  <c r="AA209" i="3" l="1"/>
  <c r="Z209" i="3"/>
  <c r="AC209" i="3"/>
  <c r="P209" i="3"/>
  <c r="Q209" i="3" s="1"/>
  <c r="R209" i="3" s="1"/>
  <c r="S209" i="3" s="1"/>
  <c r="L208" i="3"/>
  <c r="W208" i="3"/>
  <c r="T209" i="3" l="1"/>
  <c r="AH209" i="3" s="1"/>
  <c r="U208" i="3"/>
  <c r="Y207" i="3"/>
  <c r="E209" i="3" l="1"/>
  <c r="H209" i="3" s="1"/>
  <c r="K209" i="3" s="1"/>
  <c r="D209" i="3"/>
  <c r="AG209" i="3"/>
  <c r="F209" i="3" l="1"/>
  <c r="G209" i="3"/>
  <c r="I209" i="3" s="1"/>
  <c r="V209" i="3"/>
  <c r="AE209" i="3"/>
  <c r="A210" i="3"/>
  <c r="B210" i="3" s="1"/>
  <c r="J209" i="3" l="1"/>
  <c r="AD209" i="3" s="1"/>
  <c r="M209" i="3"/>
  <c r="N209" i="3" s="1"/>
  <c r="W209" i="3"/>
  <c r="P210" i="3"/>
  <c r="Q210" i="3" s="1"/>
  <c r="R210" i="3" s="1"/>
  <c r="S210" i="3" s="1"/>
  <c r="AC210" i="3"/>
  <c r="Z210" i="3"/>
  <c r="AA210" i="3"/>
  <c r="L209" i="3" l="1"/>
  <c r="U209" i="3" s="1"/>
  <c r="T210" i="3"/>
  <c r="Y208" i="3" l="1"/>
  <c r="D210" i="3"/>
  <c r="G210" i="3" s="1"/>
  <c r="AH210" i="3"/>
  <c r="AG210" i="3"/>
  <c r="E210" i="3"/>
  <c r="H210" i="3" s="1"/>
  <c r="K210" i="3" s="1"/>
  <c r="F210" i="3" l="1"/>
  <c r="I210" i="3"/>
  <c r="J210" i="3"/>
  <c r="AD210" i="3" s="1"/>
  <c r="M210" i="3"/>
  <c r="N210" i="3" s="1"/>
  <c r="V210" i="3"/>
  <c r="AE210" i="3"/>
  <c r="A211" i="3"/>
  <c r="B211" i="3" s="1"/>
  <c r="W210" i="3" l="1"/>
  <c r="L210" i="3"/>
  <c r="Z211" i="3"/>
  <c r="AA211" i="3"/>
  <c r="P211" i="3"/>
  <c r="Q211" i="3" s="1"/>
  <c r="R211" i="3" s="1"/>
  <c r="S211" i="3" s="1"/>
  <c r="AC211" i="3"/>
  <c r="T211" i="3" l="1"/>
  <c r="AG211" i="3" s="1"/>
  <c r="U210" i="3"/>
  <c r="Y209" i="3"/>
  <c r="AH211" i="3" l="1"/>
  <c r="D211" i="3"/>
  <c r="G211" i="3" s="1"/>
  <c r="E211" i="3"/>
  <c r="H211" i="3" s="1"/>
  <c r="K211" i="3" l="1"/>
  <c r="I211" i="3"/>
  <c r="J211" i="3"/>
  <c r="AD211" i="3" s="1"/>
  <c r="M211" i="3"/>
  <c r="N211" i="3" s="1"/>
  <c r="F211" i="3"/>
  <c r="L211" i="3" l="1"/>
  <c r="V211" i="3"/>
  <c r="W211" i="3" s="1"/>
  <c r="AE211" i="3"/>
  <c r="A212" i="3"/>
  <c r="B212" i="3" s="1"/>
  <c r="AA212" i="3" l="1"/>
  <c r="Z212" i="3"/>
  <c r="P212" i="3"/>
  <c r="Q212" i="3" s="1"/>
  <c r="R212" i="3" s="1"/>
  <c r="S212" i="3" s="1"/>
  <c r="AC212" i="3"/>
  <c r="U211" i="3"/>
  <c r="Y210" i="3"/>
  <c r="T212" i="3" l="1"/>
  <c r="AH212" i="3" s="1"/>
  <c r="E212" i="3" l="1"/>
  <c r="H212" i="3" s="1"/>
  <c r="K212" i="3" s="1"/>
  <c r="AG212" i="3"/>
  <c r="D212" i="3"/>
  <c r="F212" i="3" l="1"/>
  <c r="G212" i="3"/>
  <c r="V212" i="3"/>
  <c r="A213" i="3"/>
  <c r="B213" i="3" s="1"/>
  <c r="AE212" i="3"/>
  <c r="AA213" i="3" l="1"/>
  <c r="P213" i="3"/>
  <c r="Q213" i="3" s="1"/>
  <c r="R213" i="3" s="1"/>
  <c r="S213" i="3" s="1"/>
  <c r="Z213" i="3"/>
  <c r="AC213" i="3"/>
  <c r="I212" i="3"/>
  <c r="W212" i="3" s="1"/>
  <c r="J212" i="3"/>
  <c r="AD212" i="3" s="1"/>
  <c r="M212" i="3"/>
  <c r="N212" i="3" s="1"/>
  <c r="L212" i="3" l="1"/>
  <c r="T213" i="3"/>
  <c r="AG213" i="3" l="1"/>
  <c r="AH213" i="3"/>
  <c r="U212" i="3"/>
  <c r="E213" i="3" s="1"/>
  <c r="H213" i="3" s="1"/>
  <c r="Y211" i="3"/>
  <c r="K213" i="3" l="1"/>
  <c r="D213" i="3"/>
  <c r="F213" i="3" l="1"/>
  <c r="G213" i="3"/>
  <c r="V213" i="3"/>
  <c r="A214" i="3"/>
  <c r="B214" i="3" s="1"/>
  <c r="AE213" i="3"/>
  <c r="I213" i="3" l="1"/>
  <c r="W213" i="3" s="1"/>
  <c r="J213" i="3"/>
  <c r="AD213" i="3" s="1"/>
  <c r="M213" i="3"/>
  <c r="N213" i="3" s="1"/>
  <c r="P214" i="3"/>
  <c r="Q214" i="3" s="1"/>
  <c r="R214" i="3" s="1"/>
  <c r="S214" i="3" s="1"/>
  <c r="AA214" i="3"/>
  <c r="Z214" i="3"/>
  <c r="AC214" i="3"/>
  <c r="T214" i="3" l="1"/>
  <c r="L213" i="3"/>
  <c r="AG214" i="3" l="1"/>
  <c r="AH214" i="3"/>
  <c r="U213" i="3"/>
  <c r="E214" i="3" s="1"/>
  <c r="H214" i="3" s="1"/>
  <c r="Y212" i="3"/>
  <c r="D214" i="3" l="1"/>
  <c r="F214" i="3" s="1"/>
  <c r="K214" i="3"/>
  <c r="G214" i="3" l="1"/>
  <c r="J214" i="3" s="1"/>
  <c r="V214" i="3"/>
  <c r="AE214" i="3"/>
  <c r="A215" i="3"/>
  <c r="B215" i="3" s="1"/>
  <c r="M214" i="3" l="1"/>
  <c r="N214" i="3" s="1"/>
  <c r="I214" i="3"/>
  <c r="W214" i="3" s="1"/>
  <c r="L214" i="3"/>
  <c r="AD214" i="3"/>
  <c r="P215" i="3"/>
  <c r="Q215" i="3" s="1"/>
  <c r="R215" i="3" s="1"/>
  <c r="S215" i="3" s="1"/>
  <c r="AD215" i="3"/>
  <c r="AC215" i="3"/>
  <c r="AA215" i="3"/>
  <c r="Z215" i="3"/>
  <c r="T215" i="3" l="1"/>
  <c r="AG215" i="3" s="1"/>
  <c r="U214" i="3"/>
  <c r="Y213" i="3"/>
  <c r="AH215" i="3" l="1"/>
  <c r="E215" i="3"/>
  <c r="H215" i="3" s="1"/>
  <c r="K215" i="3" s="1"/>
  <c r="D215" i="3"/>
  <c r="F215" i="3" l="1"/>
  <c r="G215" i="3"/>
  <c r="I215" i="3" s="1"/>
  <c r="V215" i="3"/>
  <c r="AE215" i="3"/>
  <c r="A216" i="3"/>
  <c r="B216" i="3" s="1"/>
  <c r="M215" i="3" l="1"/>
  <c r="N215" i="3" s="1"/>
  <c r="J215" i="3"/>
  <c r="L215" i="3" s="1"/>
  <c r="W215" i="3"/>
  <c r="Z216" i="3"/>
  <c r="P216" i="3"/>
  <c r="Q216" i="3" s="1"/>
  <c r="R216" i="3" s="1"/>
  <c r="S216" i="3" s="1"/>
  <c r="AC216" i="3"/>
  <c r="AD216" i="3"/>
  <c r="AA216" i="3"/>
  <c r="T216" i="3" l="1"/>
  <c r="AG216" i="3" s="1"/>
  <c r="U215" i="3"/>
  <c r="Y214" i="3"/>
  <c r="E216" i="3" l="1"/>
  <c r="H216" i="3" s="1"/>
  <c r="K216" i="3" s="1"/>
  <c r="D216" i="3"/>
  <c r="AH216" i="3"/>
  <c r="F216" i="3" l="1"/>
  <c r="G216" i="3"/>
  <c r="I216" i="3" s="1"/>
  <c r="V216" i="3"/>
  <c r="AE216" i="3"/>
  <c r="A217" i="3"/>
  <c r="B217" i="3" s="1"/>
  <c r="M216" i="3" l="1"/>
  <c r="N216" i="3" s="1"/>
  <c r="W216" i="3"/>
  <c r="J216" i="3"/>
  <c r="L216" i="3" s="1"/>
  <c r="AA217" i="3"/>
  <c r="Z217" i="3"/>
  <c r="AD217" i="3"/>
  <c r="P217" i="3"/>
  <c r="Q217" i="3" s="1"/>
  <c r="R217" i="3" s="1"/>
  <c r="S217" i="3" s="1"/>
  <c r="AC217" i="3"/>
  <c r="T217" i="3" l="1"/>
  <c r="AH217" i="3" s="1"/>
  <c r="U216" i="3"/>
  <c r="Y215" i="3"/>
  <c r="E217" i="3" l="1"/>
  <c r="H217" i="3" s="1"/>
  <c r="K217" i="3" s="1"/>
  <c r="AG217" i="3"/>
  <c r="D217" i="3"/>
  <c r="G217" i="3" s="1"/>
  <c r="F217" i="3" l="1"/>
  <c r="I217" i="3"/>
  <c r="J217" i="3"/>
  <c r="M217" i="3"/>
  <c r="N217" i="3" s="1"/>
  <c r="V217" i="3"/>
  <c r="AE217" i="3"/>
  <c r="A218" i="3"/>
  <c r="B218" i="3" s="1"/>
  <c r="W217" i="3" l="1"/>
  <c r="L217" i="3"/>
  <c r="AC218" i="3"/>
  <c r="AA218" i="3"/>
  <c r="Z218" i="3"/>
  <c r="AD218" i="3"/>
  <c r="P218" i="3"/>
  <c r="Q218" i="3" s="1"/>
  <c r="R218" i="3" s="1"/>
  <c r="S218" i="3" s="1"/>
  <c r="T218" i="3" l="1"/>
  <c r="AH218" i="3" s="1"/>
  <c r="U217" i="3"/>
  <c r="Y216" i="3"/>
  <c r="AG218" i="3" l="1"/>
  <c r="D218" i="3"/>
  <c r="G218" i="3" s="1"/>
  <c r="E218" i="3"/>
  <c r="H218" i="3" s="1"/>
  <c r="K218" i="3" s="1"/>
  <c r="F218" i="3" l="1"/>
  <c r="V218" i="3"/>
  <c r="A219" i="3"/>
  <c r="B219" i="3" s="1"/>
  <c r="AE218" i="3"/>
  <c r="I218" i="3"/>
  <c r="J218" i="3"/>
  <c r="M218" i="3"/>
  <c r="N218" i="3" s="1"/>
  <c r="AA219" i="3" l="1"/>
  <c r="Z219" i="3"/>
  <c r="P219" i="3"/>
  <c r="Q219" i="3" s="1"/>
  <c r="R219" i="3" s="1"/>
  <c r="S219" i="3" s="1"/>
  <c r="AD219" i="3"/>
  <c r="AC219" i="3"/>
  <c r="L218" i="3"/>
  <c r="W218" i="3"/>
  <c r="T219" i="3" l="1"/>
  <c r="AH219" i="3" s="1"/>
  <c r="U218" i="3"/>
  <c r="Y217" i="3"/>
  <c r="AG219" i="3" l="1"/>
  <c r="E219" i="3"/>
  <c r="H219" i="3" s="1"/>
  <c r="K219" i="3" s="1"/>
  <c r="D219" i="3"/>
  <c r="F219" i="3" l="1"/>
  <c r="G219" i="3"/>
  <c r="I219" i="3" s="1"/>
  <c r="V219" i="3"/>
  <c r="AE219" i="3"/>
  <c r="A220" i="3"/>
  <c r="B220" i="3" s="1"/>
  <c r="M219" i="3" l="1"/>
  <c r="N219" i="3" s="1"/>
  <c r="J219" i="3"/>
  <c r="L219" i="3" s="1"/>
  <c r="W219" i="3"/>
  <c r="Z220" i="3"/>
  <c r="P220" i="3"/>
  <c r="Q220" i="3" s="1"/>
  <c r="R220" i="3" s="1"/>
  <c r="S220" i="3" s="1"/>
  <c r="AC220" i="3"/>
  <c r="AA220" i="3"/>
  <c r="AD220" i="3"/>
  <c r="T220" i="3" l="1"/>
  <c r="AG220" i="3" s="1"/>
  <c r="U219" i="3"/>
  <c r="Y218" i="3"/>
  <c r="AH220" i="3" l="1"/>
  <c r="E220" i="3"/>
  <c r="H220" i="3" s="1"/>
  <c r="K220" i="3" s="1"/>
  <c r="D220" i="3"/>
  <c r="F220" i="3" l="1"/>
  <c r="G220" i="3"/>
  <c r="M220" i="3" s="1"/>
  <c r="N220" i="3" s="1"/>
  <c r="V220" i="3"/>
  <c r="AE220" i="3"/>
  <c r="A221" i="3"/>
  <c r="B221" i="3" s="1"/>
  <c r="J220" i="3" l="1"/>
  <c r="L220" i="3" s="1"/>
  <c r="I220" i="3"/>
  <c r="W220" i="3" s="1"/>
  <c r="P221" i="3"/>
  <c r="Q221" i="3" s="1"/>
  <c r="R221" i="3" s="1"/>
  <c r="S221" i="3" s="1"/>
  <c r="AC221" i="3"/>
  <c r="AA221" i="3"/>
  <c r="AD221" i="3"/>
  <c r="Z221" i="3"/>
  <c r="T221" i="3" l="1"/>
  <c r="AG221" i="3" s="1"/>
  <c r="U220" i="3"/>
  <c r="Y219" i="3"/>
  <c r="AH221" i="3" l="1"/>
  <c r="D221" i="3"/>
  <c r="G221" i="3" s="1"/>
  <c r="E221" i="3"/>
  <c r="H221" i="3" s="1"/>
  <c r="I221" i="3" l="1"/>
  <c r="J221" i="3"/>
  <c r="M221" i="3"/>
  <c r="N221" i="3" s="1"/>
  <c r="K221" i="3"/>
  <c r="F221" i="3"/>
  <c r="V221" i="3" l="1"/>
  <c r="W221" i="3" s="1"/>
  <c r="AE221" i="3"/>
  <c r="A222" i="3"/>
  <c r="B222" i="3" s="1"/>
  <c r="L221" i="3"/>
  <c r="AD222" i="3" l="1"/>
  <c r="P222" i="3"/>
  <c r="Q222" i="3" s="1"/>
  <c r="R222" i="3" s="1"/>
  <c r="S222" i="3" s="1"/>
  <c r="Z222" i="3"/>
  <c r="AC222" i="3"/>
  <c r="AA222" i="3"/>
  <c r="U221" i="3"/>
  <c r="Y220" i="3"/>
  <c r="T222" i="3" l="1"/>
  <c r="D222" i="3" s="1"/>
  <c r="AG222" i="3" l="1"/>
  <c r="AH222" i="3"/>
  <c r="E222" i="3"/>
  <c r="H222" i="3" s="1"/>
  <c r="K222" i="3" s="1"/>
  <c r="G222" i="3"/>
  <c r="F222" i="3" l="1"/>
  <c r="I222" i="3"/>
  <c r="J222" i="3"/>
  <c r="M222" i="3"/>
  <c r="N222" i="3" s="1"/>
  <c r="V222" i="3"/>
  <c r="A223" i="3"/>
  <c r="B223" i="3" s="1"/>
  <c r="AE222" i="3"/>
  <c r="W222" i="3" l="1"/>
  <c r="AA223" i="3"/>
  <c r="P223" i="3"/>
  <c r="Q223" i="3" s="1"/>
  <c r="R223" i="3" s="1"/>
  <c r="S223" i="3" s="1"/>
  <c r="AC223" i="3"/>
  <c r="AD223" i="3"/>
  <c r="Z223" i="3"/>
  <c r="L222" i="3"/>
  <c r="T223" i="3" l="1"/>
  <c r="AG223" i="3" s="1"/>
  <c r="U222" i="3"/>
  <c r="Y221" i="3"/>
  <c r="AH223" i="3" l="1"/>
  <c r="E223" i="3"/>
  <c r="H223" i="3" s="1"/>
  <c r="K223" i="3" s="1"/>
  <c r="D223" i="3"/>
  <c r="F223" i="3" l="1"/>
  <c r="G223" i="3"/>
  <c r="I223" i="3" s="1"/>
  <c r="V223" i="3"/>
  <c r="A224" i="3"/>
  <c r="B224" i="3" s="1"/>
  <c r="AE223" i="3"/>
  <c r="J223" i="3" l="1"/>
  <c r="L223" i="3" s="1"/>
  <c r="M223" i="3"/>
  <c r="N223" i="3" s="1"/>
  <c r="W223" i="3"/>
  <c r="AC224" i="3"/>
  <c r="AA224" i="3"/>
  <c r="Z224" i="3"/>
  <c r="P224" i="3"/>
  <c r="Q224" i="3" s="1"/>
  <c r="R224" i="3" s="1"/>
  <c r="S224" i="3" s="1"/>
  <c r="T224" i="3" l="1"/>
  <c r="AH224" i="3" s="1"/>
  <c r="U223" i="3"/>
  <c r="Y222" i="3"/>
  <c r="AG224" i="3" l="1"/>
  <c r="D224" i="3"/>
  <c r="G224" i="3" s="1"/>
  <c r="E224" i="3"/>
  <c r="H224" i="3" s="1"/>
  <c r="K224" i="3" l="1"/>
  <c r="AE224" i="3" s="1"/>
  <c r="I224" i="3"/>
  <c r="J224" i="3"/>
  <c r="M224" i="3"/>
  <c r="N224" i="3" s="1"/>
  <c r="F224" i="3"/>
  <c r="L224" i="3" l="1"/>
  <c r="AD224" i="3"/>
  <c r="V224" i="3"/>
  <c r="W224" i="3" s="1"/>
  <c r="A225" i="3"/>
  <c r="B225" i="3" s="1"/>
  <c r="Z225" i="3" l="1"/>
  <c r="AC225" i="3"/>
  <c r="P225" i="3"/>
  <c r="Q225" i="3" s="1"/>
  <c r="R225" i="3" s="1"/>
  <c r="S225" i="3" s="1"/>
  <c r="AA225" i="3"/>
  <c r="AD225" i="3"/>
  <c r="U224" i="3"/>
  <c r="Y223" i="3"/>
  <c r="T225" i="3" l="1"/>
  <c r="AH225" i="3" s="1"/>
  <c r="AG225" i="3" l="1"/>
  <c r="D225" i="3"/>
  <c r="E225" i="3"/>
  <c r="H225" i="3" s="1"/>
  <c r="K225" i="3" s="1"/>
  <c r="AE225" i="3" s="1"/>
  <c r="F225" i="3" l="1"/>
  <c r="G225" i="3"/>
  <c r="J225" i="3" s="1"/>
  <c r="V225" i="3"/>
  <c r="A226" i="3"/>
  <c r="B226" i="3" s="1"/>
  <c r="M225" i="3" l="1"/>
  <c r="N225" i="3" s="1"/>
  <c r="I225" i="3"/>
  <c r="W225" i="3" s="1"/>
  <c r="L225" i="3"/>
  <c r="AA226" i="3"/>
  <c r="P226" i="3"/>
  <c r="Q226" i="3" s="1"/>
  <c r="R226" i="3" s="1"/>
  <c r="S226" i="3" s="1"/>
  <c r="AD226" i="3"/>
  <c r="AC226" i="3"/>
  <c r="Z226" i="3"/>
  <c r="T226" i="3" l="1"/>
  <c r="AH226" i="3" s="1"/>
  <c r="U225" i="3"/>
  <c r="Y224" i="3"/>
  <c r="AG226" i="3" l="1"/>
  <c r="D226" i="3"/>
  <c r="E226" i="3"/>
  <c r="H226" i="3" s="1"/>
  <c r="K226" i="3" s="1"/>
  <c r="AE226" i="3" s="1"/>
  <c r="F226" i="3" l="1"/>
  <c r="G226" i="3"/>
  <c r="J226" i="3" s="1"/>
  <c r="V226" i="3"/>
  <c r="A227" i="3"/>
  <c r="B227" i="3" s="1"/>
  <c r="M226" i="3" l="1"/>
  <c r="N226" i="3" s="1"/>
  <c r="I226" i="3"/>
  <c r="W226" i="3" s="1"/>
  <c r="L226" i="3"/>
  <c r="AD227" i="3"/>
  <c r="AA227" i="3"/>
  <c r="P227" i="3"/>
  <c r="Q227" i="3" s="1"/>
  <c r="R227" i="3" s="1"/>
  <c r="S227" i="3" s="1"/>
  <c r="Z227" i="3"/>
  <c r="AC227" i="3"/>
  <c r="T227" i="3" l="1"/>
  <c r="AH227" i="3" s="1"/>
  <c r="U226" i="3"/>
  <c r="Y225" i="3"/>
  <c r="E227" i="3" l="1"/>
  <c r="H227" i="3" s="1"/>
  <c r="K227" i="3" s="1"/>
  <c r="AE227" i="3" s="1"/>
  <c r="AG227" i="3"/>
  <c r="D227" i="3"/>
  <c r="F227" i="3" l="1"/>
  <c r="G227" i="3"/>
  <c r="I227" i="3" s="1"/>
  <c r="V227" i="3"/>
  <c r="A228" i="3"/>
  <c r="B228" i="3" s="1"/>
  <c r="M227" i="3" l="1"/>
  <c r="N227" i="3" s="1"/>
  <c r="J227" i="3"/>
  <c r="L227" i="3" s="1"/>
  <c r="W227" i="3"/>
  <c r="AA228" i="3"/>
  <c r="AD228" i="3"/>
  <c r="Z228" i="3"/>
  <c r="P228" i="3"/>
  <c r="Q228" i="3" s="1"/>
  <c r="R228" i="3" s="1"/>
  <c r="S228" i="3" s="1"/>
  <c r="AC228" i="3"/>
  <c r="T228" i="3" l="1"/>
  <c r="U227" i="3"/>
  <c r="Y226" i="3"/>
  <c r="D228" i="3" l="1"/>
  <c r="G228" i="3" s="1"/>
  <c r="AH228" i="3"/>
  <c r="E228" i="3"/>
  <c r="H228" i="3" s="1"/>
  <c r="K228" i="3" s="1"/>
  <c r="AE228" i="3" s="1"/>
  <c r="AG228" i="3"/>
  <c r="F228" i="3" l="1"/>
  <c r="I228" i="3"/>
  <c r="J228" i="3"/>
  <c r="M228" i="3"/>
  <c r="N228" i="3" s="1"/>
  <c r="V228" i="3"/>
  <c r="A229" i="3"/>
  <c r="B229" i="3" s="1"/>
  <c r="W228" i="3" l="1"/>
  <c r="P229" i="3"/>
  <c r="Q229" i="3" s="1"/>
  <c r="R229" i="3" s="1"/>
  <c r="S229" i="3" s="1"/>
  <c r="Z229" i="3"/>
  <c r="AA229" i="3"/>
  <c r="AC229" i="3"/>
  <c r="AD229" i="3"/>
  <c r="L228" i="3"/>
  <c r="U228" i="3" l="1"/>
  <c r="Y227" i="3"/>
  <c r="T229" i="3"/>
  <c r="AG229" i="3" s="1"/>
  <c r="AH229" i="3" l="1"/>
  <c r="D229" i="3"/>
  <c r="G229" i="3" s="1"/>
  <c r="E229" i="3"/>
  <c r="H229" i="3" s="1"/>
  <c r="K229" i="3" s="1"/>
  <c r="AE229" i="3" s="1"/>
  <c r="F229" i="3" l="1"/>
  <c r="V229" i="3"/>
  <c r="A230" i="3"/>
  <c r="B230" i="3" s="1"/>
  <c r="I229" i="3"/>
  <c r="J229" i="3"/>
  <c r="M229" i="3"/>
  <c r="N229" i="3" s="1"/>
  <c r="L229" i="3" l="1"/>
  <c r="AD230" i="3"/>
  <c r="Z230" i="3"/>
  <c r="AA230" i="3"/>
  <c r="P230" i="3"/>
  <c r="Q230" i="3" s="1"/>
  <c r="R230" i="3" s="1"/>
  <c r="S230" i="3" s="1"/>
  <c r="AC230" i="3"/>
  <c r="W229" i="3"/>
  <c r="T230" i="3" l="1"/>
  <c r="AH230" i="3" s="1"/>
  <c r="U229" i="3"/>
  <c r="Y228" i="3"/>
  <c r="D230" i="3" l="1"/>
  <c r="G230" i="3" s="1"/>
  <c r="AG230" i="3"/>
  <c r="E230" i="3"/>
  <c r="H230" i="3" s="1"/>
  <c r="K230" i="3" s="1"/>
  <c r="AE230" i="3" s="1"/>
  <c r="F230" i="3" l="1"/>
  <c r="I230" i="3"/>
  <c r="J230" i="3"/>
  <c r="M230" i="3"/>
  <c r="N230" i="3" s="1"/>
  <c r="V230" i="3"/>
  <c r="A231" i="3"/>
  <c r="B231" i="3" s="1"/>
  <c r="W230" i="3" l="1"/>
  <c r="AA231" i="3"/>
  <c r="AC231" i="3"/>
  <c r="Z231" i="3"/>
  <c r="AD231" i="3"/>
  <c r="P231" i="3"/>
  <c r="Q231" i="3" s="1"/>
  <c r="R231" i="3" s="1"/>
  <c r="S231" i="3" s="1"/>
  <c r="L230" i="3"/>
  <c r="T231" i="3" l="1"/>
  <c r="AG231" i="3" s="1"/>
  <c r="U230" i="3"/>
  <c r="Y229" i="3"/>
  <c r="AH231" i="3" l="1"/>
  <c r="D231" i="3"/>
  <c r="G231" i="3" s="1"/>
  <c r="E231" i="3"/>
  <c r="H231" i="3" s="1"/>
  <c r="K231" i="3" s="1"/>
  <c r="AE231" i="3" s="1"/>
  <c r="F231" i="3" l="1"/>
  <c r="V231" i="3"/>
  <c r="A232" i="3"/>
  <c r="B232" i="3" s="1"/>
  <c r="I231" i="3"/>
  <c r="J231" i="3"/>
  <c r="M231" i="3"/>
  <c r="N231" i="3" s="1"/>
  <c r="L231" i="3" l="1"/>
  <c r="Z232" i="3"/>
  <c r="P232" i="3"/>
  <c r="Q232" i="3" s="1"/>
  <c r="R232" i="3" s="1"/>
  <c r="S232" i="3" s="1"/>
  <c r="AC232" i="3"/>
  <c r="AD232" i="3"/>
  <c r="AA232" i="3"/>
  <c r="W231" i="3"/>
  <c r="U231" i="3" l="1"/>
  <c r="Y230" i="3"/>
  <c r="T232" i="3"/>
  <c r="E232" i="3" l="1"/>
  <c r="H232" i="3" s="1"/>
  <c r="K232" i="3" s="1"/>
  <c r="AE232" i="3" s="1"/>
  <c r="AG232" i="3"/>
  <c r="AH232" i="3"/>
  <c r="D232" i="3"/>
  <c r="F232" i="3" l="1"/>
  <c r="G232" i="3"/>
  <c r="V232" i="3"/>
  <c r="A233" i="3"/>
  <c r="B233" i="3" s="1"/>
  <c r="AD233" i="3" l="1"/>
  <c r="P233" i="3"/>
  <c r="Q233" i="3" s="1"/>
  <c r="R233" i="3" s="1"/>
  <c r="S233" i="3" s="1"/>
  <c r="AA233" i="3"/>
  <c r="AC233" i="3"/>
  <c r="Z233" i="3"/>
  <c r="I232" i="3"/>
  <c r="W232" i="3" s="1"/>
  <c r="J232" i="3"/>
  <c r="M232" i="3"/>
  <c r="N232" i="3" s="1"/>
  <c r="L232" i="3" l="1"/>
  <c r="T233" i="3"/>
  <c r="AG233" i="3" l="1"/>
  <c r="AH233" i="3"/>
  <c r="U232" i="3"/>
  <c r="D233" i="3" s="1"/>
  <c r="Y231" i="3"/>
  <c r="E233" i="3" l="1"/>
  <c r="H233" i="3" s="1"/>
  <c r="K233" i="3" s="1"/>
  <c r="AE233" i="3" s="1"/>
  <c r="G233" i="3"/>
  <c r="F233" i="3" l="1"/>
  <c r="V233" i="3"/>
  <c r="A234" i="3"/>
  <c r="B234" i="3" s="1"/>
  <c r="I233" i="3"/>
  <c r="J233" i="3"/>
  <c r="M233" i="3"/>
  <c r="N233" i="3" s="1"/>
  <c r="L233" i="3" l="1"/>
  <c r="AA234" i="3"/>
  <c r="P234" i="3"/>
  <c r="Q234" i="3" s="1"/>
  <c r="R234" i="3" s="1"/>
  <c r="S234" i="3" s="1"/>
  <c r="Z234" i="3"/>
  <c r="AC234" i="3"/>
  <c r="W233" i="3"/>
  <c r="T234" i="3" l="1"/>
  <c r="AH234" i="3" s="1"/>
  <c r="U233" i="3"/>
  <c r="Y232" i="3"/>
  <c r="AG234" i="3" l="1"/>
  <c r="D234" i="3"/>
  <c r="G234" i="3" s="1"/>
  <c r="E234" i="3"/>
  <c r="H234" i="3" s="1"/>
  <c r="K234" i="3" s="1"/>
  <c r="AE234" i="3" s="1"/>
  <c r="F234" i="3" l="1"/>
  <c r="V234" i="3"/>
  <c r="A235" i="3"/>
  <c r="B235" i="3" s="1"/>
  <c r="I234" i="3"/>
  <c r="J234" i="3"/>
  <c r="M234" i="3"/>
  <c r="N234" i="3" s="1"/>
  <c r="Z235" i="3" l="1"/>
  <c r="AA235" i="3"/>
  <c r="P235" i="3"/>
  <c r="Q235" i="3" s="1"/>
  <c r="R235" i="3" s="1"/>
  <c r="S235" i="3" s="1"/>
  <c r="AD235" i="3"/>
  <c r="AC235" i="3"/>
  <c r="L234" i="3"/>
  <c r="AD234" i="3"/>
  <c r="W234" i="3"/>
  <c r="U234" i="3" l="1"/>
  <c r="Y233" i="3"/>
  <c r="T235" i="3"/>
  <c r="D235" i="3" l="1"/>
  <c r="G235" i="3" s="1"/>
  <c r="E235" i="3"/>
  <c r="H235" i="3" s="1"/>
  <c r="AG235" i="3"/>
  <c r="AH235" i="3"/>
  <c r="K235" i="3" l="1"/>
  <c r="AE235" i="3" s="1"/>
  <c r="I235" i="3"/>
  <c r="J235" i="3"/>
  <c r="M235" i="3"/>
  <c r="N235" i="3" s="1"/>
  <c r="F235" i="3"/>
  <c r="L235" i="3" l="1"/>
  <c r="V235" i="3"/>
  <c r="W235" i="3" s="1"/>
  <c r="A236" i="3"/>
  <c r="B236" i="3" s="1"/>
  <c r="AA236" i="3" l="1"/>
  <c r="Z236" i="3"/>
  <c r="AD236" i="3"/>
  <c r="P236" i="3"/>
  <c r="Q236" i="3" s="1"/>
  <c r="R236" i="3" s="1"/>
  <c r="S236" i="3" s="1"/>
  <c r="AC236" i="3"/>
  <c r="U235" i="3"/>
  <c r="Y234" i="3"/>
  <c r="T236" i="3" l="1"/>
  <c r="AH236" i="3" s="1"/>
  <c r="E236" i="3" l="1"/>
  <c r="H236" i="3" s="1"/>
  <c r="K236" i="3" s="1"/>
  <c r="AE236" i="3" s="1"/>
  <c r="D236" i="3"/>
  <c r="AG236" i="3"/>
  <c r="F236" i="3" l="1"/>
  <c r="G236" i="3"/>
  <c r="I236" i="3" s="1"/>
  <c r="V236" i="3"/>
  <c r="A237" i="3"/>
  <c r="B237" i="3" s="1"/>
  <c r="M236" i="3" l="1"/>
  <c r="N236" i="3" s="1"/>
  <c r="J236" i="3"/>
  <c r="L236" i="3" s="1"/>
  <c r="W236" i="3"/>
  <c r="AD237" i="3"/>
  <c r="AA237" i="3"/>
  <c r="Z237" i="3"/>
  <c r="AC237" i="3"/>
  <c r="P237" i="3"/>
  <c r="Q237" i="3" s="1"/>
  <c r="R237" i="3" s="1"/>
  <c r="S237" i="3" s="1"/>
  <c r="T237" i="3" l="1"/>
  <c r="AH237" i="3" s="1"/>
  <c r="U236" i="3"/>
  <c r="Y235" i="3"/>
  <c r="D237" i="3" l="1"/>
  <c r="G237" i="3" s="1"/>
  <c r="AG237" i="3"/>
  <c r="E237" i="3"/>
  <c r="H237" i="3" s="1"/>
  <c r="K237" i="3" s="1"/>
  <c r="AE237" i="3" s="1"/>
  <c r="F237" i="3" l="1"/>
  <c r="V237" i="3"/>
  <c r="A238" i="3"/>
  <c r="B238" i="3" s="1"/>
  <c r="I237" i="3"/>
  <c r="J237" i="3"/>
  <c r="M237" i="3"/>
  <c r="N237" i="3" s="1"/>
  <c r="L237" i="3" l="1"/>
  <c r="Z238" i="3"/>
  <c r="P238" i="3"/>
  <c r="Q238" i="3" s="1"/>
  <c r="R238" i="3" s="1"/>
  <c r="S238" i="3" s="1"/>
  <c r="AD238" i="3"/>
  <c r="AA238" i="3"/>
  <c r="AC238" i="3"/>
  <c r="W237" i="3"/>
  <c r="T238" i="3" l="1"/>
  <c r="AG238" i="3" s="1"/>
  <c r="U237" i="3"/>
  <c r="Y236" i="3"/>
  <c r="AH238" i="3" l="1"/>
  <c r="D238" i="3"/>
  <c r="G238" i="3" s="1"/>
  <c r="E238" i="3"/>
  <c r="H238" i="3" s="1"/>
  <c r="K238" i="3" s="1"/>
  <c r="AE238" i="3" s="1"/>
  <c r="F238" i="3" l="1"/>
  <c r="I238" i="3"/>
  <c r="J238" i="3"/>
  <c r="M238" i="3"/>
  <c r="N238" i="3" s="1"/>
  <c r="V238" i="3"/>
  <c r="A239" i="3"/>
  <c r="B239" i="3" s="1"/>
  <c r="W238" i="3" l="1"/>
  <c r="AA239" i="3"/>
  <c r="P239" i="3"/>
  <c r="Q239" i="3" s="1"/>
  <c r="R239" i="3" s="1"/>
  <c r="S239" i="3" s="1"/>
  <c r="AC239" i="3"/>
  <c r="Z239" i="3"/>
  <c r="AD239" i="3"/>
  <c r="L238" i="3"/>
  <c r="T239" i="3" l="1"/>
  <c r="AH239" i="3" s="1"/>
  <c r="U238" i="3"/>
  <c r="Y237" i="3"/>
  <c r="E239" i="3" l="1"/>
  <c r="H239" i="3" s="1"/>
  <c r="K239" i="3" s="1"/>
  <c r="AE239" i="3" s="1"/>
  <c r="AG239" i="3"/>
  <c r="D239" i="3"/>
  <c r="F239" i="3" l="1"/>
  <c r="G239" i="3"/>
  <c r="I239" i="3" s="1"/>
  <c r="V239" i="3"/>
  <c r="A240" i="3"/>
  <c r="B240" i="3" s="1"/>
  <c r="M239" i="3" l="1"/>
  <c r="N239" i="3" s="1"/>
  <c r="J239" i="3"/>
  <c r="L239" i="3" s="1"/>
  <c r="W239" i="3"/>
  <c r="AA240" i="3"/>
  <c r="AC240" i="3"/>
  <c r="AD240" i="3"/>
  <c r="Z240" i="3"/>
  <c r="P240" i="3"/>
  <c r="Q240" i="3" s="1"/>
  <c r="R240" i="3" s="1"/>
  <c r="S240" i="3" s="1"/>
  <c r="T240" i="3" l="1"/>
  <c r="AG240" i="3" s="1"/>
  <c r="U239" i="3"/>
  <c r="Y238" i="3"/>
  <c r="AH240" i="3" l="1"/>
  <c r="E240" i="3"/>
  <c r="H240" i="3" s="1"/>
  <c r="K240" i="3" s="1"/>
  <c r="AE240" i="3" s="1"/>
  <c r="D240" i="3"/>
  <c r="F240" i="3" l="1"/>
  <c r="G240" i="3"/>
  <c r="I240" i="3" s="1"/>
  <c r="V240" i="3"/>
  <c r="A241" i="3"/>
  <c r="B241" i="3" s="1"/>
  <c r="M240" i="3" l="1"/>
  <c r="N240" i="3" s="1"/>
  <c r="J240" i="3"/>
  <c r="L240" i="3" s="1"/>
  <c r="AD241" i="3"/>
  <c r="Z241" i="3"/>
  <c r="AC241" i="3"/>
  <c r="AA241" i="3"/>
  <c r="P241" i="3"/>
  <c r="Q241" i="3" s="1"/>
  <c r="R241" i="3" s="1"/>
  <c r="S241" i="3" s="1"/>
  <c r="W240" i="3"/>
  <c r="T241" i="3" l="1"/>
  <c r="AG241" i="3" s="1"/>
  <c r="U240" i="3"/>
  <c r="Y239" i="3"/>
  <c r="AH241" i="3" l="1"/>
  <c r="D241" i="3"/>
  <c r="G241" i="3" s="1"/>
  <c r="E241" i="3"/>
  <c r="H241" i="3" s="1"/>
  <c r="K241" i="3" s="1"/>
  <c r="AE241" i="3" s="1"/>
  <c r="F241" i="3" l="1"/>
  <c r="V241" i="3"/>
  <c r="A242" i="3"/>
  <c r="B242" i="3" s="1"/>
  <c r="I241" i="3"/>
  <c r="J241" i="3"/>
  <c r="M241" i="3"/>
  <c r="N241" i="3" s="1"/>
  <c r="AC242" i="3" l="1"/>
  <c r="Z242" i="3"/>
  <c r="AD242" i="3"/>
  <c r="AA242" i="3"/>
  <c r="P242" i="3"/>
  <c r="Q242" i="3" s="1"/>
  <c r="R242" i="3" s="1"/>
  <c r="S242" i="3" s="1"/>
  <c r="L241" i="3"/>
  <c r="W241" i="3"/>
  <c r="T242" i="3" l="1"/>
  <c r="AG242" i="3" s="1"/>
  <c r="U241" i="3"/>
  <c r="Y240" i="3"/>
  <c r="AH242" i="3" l="1"/>
  <c r="D242" i="3"/>
  <c r="E242" i="3"/>
  <c r="H242" i="3" s="1"/>
  <c r="K242" i="3" s="1"/>
  <c r="AE242" i="3" s="1"/>
  <c r="F242" i="3" l="1"/>
  <c r="G242" i="3"/>
  <c r="I242" i="3" s="1"/>
  <c r="V242" i="3"/>
  <c r="A243" i="3"/>
  <c r="B243" i="3" s="1"/>
  <c r="M242" i="3" l="1"/>
  <c r="N242" i="3" s="1"/>
  <c r="W242" i="3"/>
  <c r="J242" i="3"/>
  <c r="L242" i="3" s="1"/>
  <c r="AD243" i="3"/>
  <c r="P243" i="3"/>
  <c r="Q243" i="3" s="1"/>
  <c r="R243" i="3" s="1"/>
  <c r="S243" i="3" s="1"/>
  <c r="AC243" i="3"/>
  <c r="AA243" i="3"/>
  <c r="Z243" i="3"/>
  <c r="U242" i="3" l="1"/>
  <c r="Y241" i="3"/>
  <c r="T243" i="3"/>
  <c r="AG243" i="3" s="1"/>
  <c r="E243" i="3" l="1"/>
  <c r="H243" i="3" s="1"/>
  <c r="K243" i="3" s="1"/>
  <c r="AE243" i="3" s="1"/>
  <c r="AH243" i="3"/>
  <c r="D243" i="3"/>
  <c r="F243" i="3" l="1"/>
  <c r="G243" i="3"/>
  <c r="I243" i="3" s="1"/>
  <c r="V243" i="3"/>
  <c r="A244" i="3"/>
  <c r="B244" i="3" s="1"/>
  <c r="M243" i="3" l="1"/>
  <c r="N243" i="3" s="1"/>
  <c r="J243" i="3"/>
  <c r="L243" i="3" s="1"/>
  <c r="W243" i="3"/>
  <c r="AA244" i="3"/>
  <c r="AC244" i="3"/>
  <c r="Z244" i="3"/>
  <c r="P244" i="3"/>
  <c r="Q244" i="3" s="1"/>
  <c r="R244" i="3" s="1"/>
  <c r="S244" i="3" s="1"/>
  <c r="U243" i="3" l="1"/>
  <c r="Y242" i="3"/>
  <c r="T244" i="3"/>
  <c r="AG244" i="3" s="1"/>
  <c r="D244" i="3" l="1"/>
  <c r="G244" i="3" s="1"/>
  <c r="AH244" i="3"/>
  <c r="E244" i="3"/>
  <c r="H244" i="3" s="1"/>
  <c r="K244" i="3" s="1"/>
  <c r="AE244" i="3" s="1"/>
  <c r="F244" i="3" l="1"/>
  <c r="V244" i="3"/>
  <c r="A245" i="3"/>
  <c r="B245" i="3" s="1"/>
  <c r="I244" i="3"/>
  <c r="J244" i="3"/>
  <c r="M244" i="3"/>
  <c r="N244" i="3" s="1"/>
  <c r="AC245" i="3" l="1"/>
  <c r="P245" i="3"/>
  <c r="Q245" i="3" s="1"/>
  <c r="R245" i="3" s="1"/>
  <c r="S245" i="3" s="1"/>
  <c r="AA245" i="3"/>
  <c r="Z245" i="3"/>
  <c r="AD245" i="3"/>
  <c r="L244" i="3"/>
  <c r="AD244" i="3"/>
  <c r="W244" i="3"/>
  <c r="U244" i="3" l="1"/>
  <c r="Y243" i="3"/>
  <c r="T245" i="3"/>
  <c r="D245" i="3" l="1"/>
  <c r="G245" i="3" s="1"/>
  <c r="AG245" i="3"/>
  <c r="AH245" i="3"/>
  <c r="E245" i="3"/>
  <c r="H245" i="3" s="1"/>
  <c r="K245" i="3" s="1"/>
  <c r="AE245" i="3" s="1"/>
  <c r="F245" i="3" l="1"/>
  <c r="V245" i="3"/>
  <c r="A246" i="3"/>
  <c r="B246" i="3" s="1"/>
  <c r="I245" i="3"/>
  <c r="J245" i="3"/>
  <c r="M245" i="3"/>
  <c r="N245" i="3" s="1"/>
  <c r="Z246" i="3" l="1"/>
  <c r="AD246" i="3"/>
  <c r="AC246" i="3"/>
  <c r="AA246" i="3"/>
  <c r="P246" i="3"/>
  <c r="Q246" i="3" s="1"/>
  <c r="R246" i="3" s="1"/>
  <c r="S246" i="3" s="1"/>
  <c r="L245" i="3"/>
  <c r="W245" i="3"/>
  <c r="T246" i="3" l="1"/>
  <c r="AG246" i="3" s="1"/>
  <c r="U245" i="3"/>
  <c r="Y244" i="3"/>
  <c r="E246" i="3" l="1"/>
  <c r="H246" i="3" s="1"/>
  <c r="K246" i="3" s="1"/>
  <c r="AE246" i="3" s="1"/>
  <c r="D246" i="3"/>
  <c r="AH246" i="3"/>
  <c r="F246" i="3" l="1"/>
  <c r="G246" i="3"/>
  <c r="I246" i="3" s="1"/>
  <c r="V246" i="3"/>
  <c r="A247" i="3"/>
  <c r="B247" i="3" s="1"/>
  <c r="J246" i="3" l="1"/>
  <c r="L246" i="3" s="1"/>
  <c r="M246" i="3"/>
  <c r="N246" i="3" s="1"/>
  <c r="W246" i="3"/>
  <c r="Z247" i="3"/>
  <c r="AD247" i="3"/>
  <c r="AC247" i="3"/>
  <c r="AA247" i="3"/>
  <c r="P247" i="3"/>
  <c r="Q247" i="3" s="1"/>
  <c r="R247" i="3" s="1"/>
  <c r="S247" i="3" s="1"/>
  <c r="T247" i="3" l="1"/>
  <c r="AH247" i="3" s="1"/>
  <c r="U246" i="3"/>
  <c r="Y245" i="3"/>
  <c r="E247" i="3" l="1"/>
  <c r="H247" i="3" s="1"/>
  <c r="K247" i="3" s="1"/>
  <c r="AE247" i="3" s="1"/>
  <c r="D247" i="3"/>
  <c r="AG247" i="3"/>
  <c r="F247" i="3" l="1"/>
  <c r="G247" i="3"/>
  <c r="I247" i="3" s="1"/>
  <c r="V247" i="3"/>
  <c r="A248" i="3"/>
  <c r="B248" i="3" s="1"/>
  <c r="M247" i="3" l="1"/>
  <c r="N247" i="3" s="1"/>
  <c r="J247" i="3"/>
  <c r="L247" i="3" s="1"/>
  <c r="W247" i="3"/>
  <c r="AA248" i="3"/>
  <c r="AC248" i="3"/>
  <c r="AD248" i="3"/>
  <c r="Z248" i="3"/>
  <c r="P248" i="3"/>
  <c r="Q248" i="3" s="1"/>
  <c r="R248" i="3" s="1"/>
  <c r="S248" i="3" s="1"/>
  <c r="T248" i="3" l="1"/>
  <c r="AH248" i="3" s="1"/>
  <c r="U247" i="3"/>
  <c r="Y246" i="3"/>
  <c r="AG248" i="3" l="1"/>
  <c r="E248" i="3"/>
  <c r="H248" i="3" s="1"/>
  <c r="K248" i="3" s="1"/>
  <c r="AE248" i="3" s="1"/>
  <c r="D248" i="3"/>
  <c r="F248" i="3" l="1"/>
  <c r="G248" i="3"/>
  <c r="V248" i="3"/>
  <c r="A249" i="3"/>
  <c r="B249" i="3" s="1"/>
  <c r="AD249" i="3" l="1"/>
  <c r="P249" i="3"/>
  <c r="Q249" i="3" s="1"/>
  <c r="R249" i="3" s="1"/>
  <c r="S249" i="3" s="1"/>
  <c r="AA249" i="3"/>
  <c r="AC249" i="3"/>
  <c r="Z249" i="3"/>
  <c r="I248" i="3"/>
  <c r="W248" i="3" s="1"/>
  <c r="J248" i="3"/>
  <c r="M248" i="3"/>
  <c r="N248" i="3" s="1"/>
  <c r="L248" i="3" l="1"/>
  <c r="T249" i="3"/>
  <c r="AG249" i="3" l="1"/>
  <c r="AH249" i="3"/>
  <c r="U248" i="3"/>
  <c r="D249" i="3" s="1"/>
  <c r="Y247" i="3"/>
  <c r="G249" i="3" l="1"/>
  <c r="E249" i="3"/>
  <c r="H249" i="3" s="1"/>
  <c r="K249" i="3" l="1"/>
  <c r="AE249" i="3" s="1"/>
  <c r="I249" i="3"/>
  <c r="J249" i="3"/>
  <c r="M249" i="3"/>
  <c r="N249" i="3" s="1"/>
  <c r="F249" i="3"/>
  <c r="L249" i="3" l="1"/>
  <c r="V249" i="3"/>
  <c r="W249" i="3" s="1"/>
  <c r="A250" i="3"/>
  <c r="B250" i="3" s="1"/>
  <c r="AA250" i="3" l="1"/>
  <c r="AC250" i="3"/>
  <c r="P250" i="3"/>
  <c r="Q250" i="3" s="1"/>
  <c r="R250" i="3" s="1"/>
  <c r="S250" i="3" s="1"/>
  <c r="Z250" i="3"/>
  <c r="AD250" i="3"/>
  <c r="U249" i="3"/>
  <c r="Y248" i="3"/>
  <c r="T250" i="3" l="1"/>
  <c r="AG250" i="3" s="1"/>
  <c r="D250" i="3" l="1"/>
  <c r="G250" i="3" s="1"/>
  <c r="E250" i="3"/>
  <c r="H250" i="3" s="1"/>
  <c r="AH250" i="3"/>
  <c r="F250" i="3" l="1"/>
  <c r="I250" i="3"/>
  <c r="J250" i="3"/>
  <c r="M250" i="3"/>
  <c r="N250" i="3" s="1"/>
  <c r="K250" i="3"/>
  <c r="AE250" i="3" s="1"/>
  <c r="V250" i="3" l="1"/>
  <c r="W250" i="3" s="1"/>
  <c r="A251" i="3"/>
  <c r="B251" i="3" s="1"/>
  <c r="L250" i="3"/>
  <c r="Z251" i="3" l="1"/>
  <c r="AD251" i="3"/>
  <c r="AA251" i="3"/>
  <c r="P251" i="3"/>
  <c r="Q251" i="3" s="1"/>
  <c r="R251" i="3" s="1"/>
  <c r="S251" i="3" s="1"/>
  <c r="AC251" i="3"/>
  <c r="U250" i="3"/>
  <c r="Y249" i="3"/>
  <c r="T251" i="3" l="1"/>
  <c r="E251" i="3" s="1"/>
  <c r="H251" i="3" s="1"/>
  <c r="AH251" i="3" l="1"/>
  <c r="D251" i="3"/>
  <c r="F251" i="3" s="1"/>
  <c r="AG251" i="3"/>
  <c r="K251" i="3"/>
  <c r="AE251" i="3" s="1"/>
  <c r="G251" i="3" l="1"/>
  <c r="I251" i="3" s="1"/>
  <c r="V251" i="3"/>
  <c r="A252" i="3"/>
  <c r="B252" i="3" s="1"/>
  <c r="J251" i="3" l="1"/>
  <c r="L251" i="3" s="1"/>
  <c r="M251" i="3"/>
  <c r="N251" i="3" s="1"/>
  <c r="P252" i="3"/>
  <c r="Q252" i="3" s="1"/>
  <c r="R252" i="3" s="1"/>
  <c r="S252" i="3" s="1"/>
  <c r="AA252" i="3"/>
  <c r="AC252" i="3"/>
  <c r="AD252" i="3"/>
  <c r="Z252" i="3"/>
  <c r="W251" i="3"/>
  <c r="T252" i="3" l="1"/>
  <c r="AH252" i="3" s="1"/>
  <c r="U251" i="3"/>
  <c r="Y250" i="3"/>
  <c r="AG252" i="3" l="1"/>
  <c r="E252" i="3"/>
  <c r="H252" i="3" s="1"/>
  <c r="K252" i="3" s="1"/>
  <c r="AE252" i="3" s="1"/>
  <c r="D252" i="3"/>
  <c r="G252" i="3" s="1"/>
  <c r="F252" i="3" l="1"/>
  <c r="I252" i="3"/>
  <c r="J252" i="3"/>
  <c r="M252" i="3"/>
  <c r="N252" i="3" s="1"/>
  <c r="V252" i="3"/>
  <c r="A253" i="3"/>
  <c r="B253" i="3" s="1"/>
  <c r="W252" i="3" l="1"/>
  <c r="AA253" i="3"/>
  <c r="AD253" i="3"/>
  <c r="AC253" i="3"/>
  <c r="Z253" i="3"/>
  <c r="P253" i="3"/>
  <c r="Q253" i="3" s="1"/>
  <c r="R253" i="3" s="1"/>
  <c r="S253" i="3" s="1"/>
  <c r="L252" i="3"/>
  <c r="T253" i="3" l="1"/>
  <c r="AH253" i="3" s="1"/>
  <c r="U252" i="3"/>
  <c r="Y251" i="3"/>
  <c r="D253" i="3" l="1"/>
  <c r="G253" i="3" s="1"/>
  <c r="AG253" i="3"/>
  <c r="E253" i="3"/>
  <c r="H253" i="3" s="1"/>
  <c r="K253" i="3" s="1"/>
  <c r="AE253" i="3" s="1"/>
  <c r="F253" i="3" l="1"/>
  <c r="I253" i="3"/>
  <c r="J253" i="3"/>
  <c r="M253" i="3"/>
  <c r="N253" i="3" s="1"/>
  <c r="V253" i="3"/>
  <c r="A254" i="3"/>
  <c r="B254" i="3" s="1"/>
  <c r="W253" i="3" l="1"/>
  <c r="Z254" i="3"/>
  <c r="AA254" i="3"/>
  <c r="P254" i="3"/>
  <c r="Q254" i="3" s="1"/>
  <c r="R254" i="3" s="1"/>
  <c r="S254" i="3" s="1"/>
  <c r="AC254" i="3"/>
  <c r="L253" i="3"/>
  <c r="T254" i="3" l="1"/>
  <c r="AG254" i="3" s="1"/>
  <c r="U253" i="3"/>
  <c r="Y252" i="3"/>
  <c r="AH254" i="3" l="1"/>
  <c r="E254" i="3"/>
  <c r="H254" i="3" s="1"/>
  <c r="K254" i="3" s="1"/>
  <c r="AE254" i="3" s="1"/>
  <c r="D254" i="3"/>
  <c r="F254" i="3" l="1"/>
  <c r="G254" i="3"/>
  <c r="V254" i="3"/>
  <c r="A255" i="3"/>
  <c r="B255" i="3" s="1"/>
  <c r="AA255" i="3" l="1"/>
  <c r="AC255" i="3"/>
  <c r="AD255" i="3"/>
  <c r="P255" i="3"/>
  <c r="Q255" i="3" s="1"/>
  <c r="R255" i="3" s="1"/>
  <c r="S255" i="3" s="1"/>
  <c r="Z255" i="3"/>
  <c r="I254" i="3"/>
  <c r="W254" i="3" s="1"/>
  <c r="J254" i="3"/>
  <c r="M254" i="3"/>
  <c r="N254" i="3" s="1"/>
  <c r="T255" i="3" l="1"/>
  <c r="L254" i="3"/>
  <c r="AD254" i="3"/>
  <c r="AH255" i="3" l="1"/>
  <c r="AG255" i="3"/>
  <c r="U254" i="3"/>
  <c r="D255" i="3" s="1"/>
  <c r="Y253" i="3"/>
  <c r="E255" i="3" l="1"/>
  <c r="H255" i="3" s="1"/>
  <c r="K255" i="3" s="1"/>
  <c r="AE255" i="3" s="1"/>
  <c r="G255" i="3"/>
  <c r="F255" i="3" l="1"/>
  <c r="I255" i="3"/>
  <c r="J255" i="3"/>
  <c r="M255" i="3"/>
  <c r="N255" i="3" s="1"/>
  <c r="V255" i="3"/>
  <c r="A256" i="3"/>
  <c r="B256" i="3" s="1"/>
  <c r="W255" i="3" l="1"/>
  <c r="Z256" i="3"/>
  <c r="AC256" i="3"/>
  <c r="AA256" i="3"/>
  <c r="P256" i="3"/>
  <c r="Q256" i="3" s="1"/>
  <c r="R256" i="3" s="1"/>
  <c r="S256" i="3" s="1"/>
  <c r="AD256" i="3"/>
  <c r="L255" i="3"/>
  <c r="T256" i="3" l="1"/>
  <c r="AH256" i="3" s="1"/>
  <c r="U255" i="3"/>
  <c r="Y254" i="3"/>
  <c r="D256" i="3" l="1"/>
  <c r="E256" i="3"/>
  <c r="H256" i="3" s="1"/>
  <c r="K256" i="3" s="1"/>
  <c r="AE256" i="3" s="1"/>
  <c r="AG256" i="3"/>
  <c r="F256" i="3" l="1"/>
  <c r="G256" i="3"/>
  <c r="J256" i="3" s="1"/>
  <c r="V256" i="3"/>
  <c r="A257" i="3"/>
  <c r="B257" i="3" s="1"/>
  <c r="I256" i="3" l="1"/>
  <c r="W256" i="3" s="1"/>
  <c r="M256" i="3"/>
  <c r="N256" i="3" s="1"/>
  <c r="L256" i="3"/>
  <c r="AD257" i="3"/>
  <c r="AC257" i="3"/>
  <c r="Z257" i="3"/>
  <c r="AA257" i="3"/>
  <c r="P257" i="3"/>
  <c r="Q257" i="3" s="1"/>
  <c r="R257" i="3" s="1"/>
  <c r="S257" i="3" s="1"/>
  <c r="T257" i="3" l="1"/>
  <c r="AG257" i="3" s="1"/>
  <c r="U256" i="3"/>
  <c r="Y255" i="3"/>
  <c r="D257" i="3" l="1"/>
  <c r="G257" i="3" s="1"/>
  <c r="AH257" i="3"/>
  <c r="E257" i="3"/>
  <c r="H257" i="3" s="1"/>
  <c r="K257" i="3" s="1"/>
  <c r="AE257" i="3" s="1"/>
  <c r="F257" i="3" l="1"/>
  <c r="V257" i="3"/>
  <c r="A258" i="3"/>
  <c r="B258" i="3" s="1"/>
  <c r="I257" i="3"/>
  <c r="J257" i="3"/>
  <c r="M257" i="3"/>
  <c r="N257" i="3" s="1"/>
  <c r="L257" i="3" l="1"/>
  <c r="AD258" i="3"/>
  <c r="Z258" i="3"/>
  <c r="P258" i="3"/>
  <c r="Q258" i="3" s="1"/>
  <c r="R258" i="3" s="1"/>
  <c r="S258" i="3" s="1"/>
  <c r="AC258" i="3"/>
  <c r="AA258" i="3"/>
  <c r="W257" i="3"/>
  <c r="T258" i="3" l="1"/>
  <c r="AH258" i="3" s="1"/>
  <c r="U257" i="3"/>
  <c r="Y256" i="3"/>
  <c r="D258" i="3" l="1"/>
  <c r="G258" i="3" s="1"/>
  <c r="AG258" i="3"/>
  <c r="E258" i="3"/>
  <c r="H258" i="3" s="1"/>
  <c r="K258" i="3" s="1"/>
  <c r="AE258" i="3" s="1"/>
  <c r="F258" i="3" l="1"/>
  <c r="V258" i="3"/>
  <c r="A259" i="3"/>
  <c r="B259" i="3" s="1"/>
  <c r="I258" i="3"/>
  <c r="J258" i="3"/>
  <c r="M258" i="3"/>
  <c r="N258" i="3" s="1"/>
  <c r="W258" i="3" l="1"/>
  <c r="L258" i="3"/>
  <c r="AC259" i="3"/>
  <c r="P259" i="3"/>
  <c r="Q259" i="3" s="1"/>
  <c r="R259" i="3" s="1"/>
  <c r="S259" i="3" s="1"/>
  <c r="AA259" i="3"/>
  <c r="Z259" i="3"/>
  <c r="AD259" i="3"/>
  <c r="U258" i="3" l="1"/>
  <c r="Y257" i="3"/>
  <c r="T259" i="3"/>
  <c r="E259" i="3" l="1"/>
  <c r="H259" i="3" s="1"/>
  <c r="K259" i="3" s="1"/>
  <c r="AE259" i="3" s="1"/>
  <c r="D259" i="3"/>
  <c r="AH259" i="3"/>
  <c r="AG259" i="3"/>
  <c r="F259" i="3" l="1"/>
  <c r="G259" i="3"/>
  <c r="I259" i="3" s="1"/>
  <c r="V259" i="3"/>
  <c r="A260" i="3"/>
  <c r="B260" i="3" s="1"/>
  <c r="M259" i="3" l="1"/>
  <c r="N259" i="3" s="1"/>
  <c r="W259" i="3"/>
  <c r="J259" i="3"/>
  <c r="L259" i="3" s="1"/>
  <c r="AD260" i="3"/>
  <c r="Z260" i="3"/>
  <c r="AC260" i="3"/>
  <c r="AA260" i="3"/>
  <c r="P260" i="3"/>
  <c r="Q260" i="3" s="1"/>
  <c r="R260" i="3" s="1"/>
  <c r="S260" i="3" s="1"/>
  <c r="T260" i="3" l="1"/>
  <c r="AH260" i="3" s="1"/>
  <c r="U259" i="3"/>
  <c r="Y258" i="3"/>
  <c r="AG260" i="3" l="1"/>
  <c r="D260" i="3"/>
  <c r="G260" i="3" s="1"/>
  <c r="E260" i="3"/>
  <c r="H260" i="3" s="1"/>
  <c r="K260" i="3" l="1"/>
  <c r="AE260" i="3" s="1"/>
  <c r="I260" i="3"/>
  <c r="J260" i="3"/>
  <c r="M260" i="3"/>
  <c r="N260" i="3" s="1"/>
  <c r="F260" i="3"/>
  <c r="L260" i="3" l="1"/>
  <c r="V260" i="3"/>
  <c r="W260" i="3" s="1"/>
  <c r="A261" i="3"/>
  <c r="B261" i="3" s="1"/>
  <c r="AA261" i="3" l="1"/>
  <c r="AD261" i="3"/>
  <c r="P261" i="3"/>
  <c r="Q261" i="3" s="1"/>
  <c r="R261" i="3" s="1"/>
  <c r="S261" i="3" s="1"/>
  <c r="Z261" i="3"/>
  <c r="AC261" i="3"/>
  <c r="U260" i="3"/>
  <c r="Y259" i="3"/>
  <c r="T261" i="3" l="1"/>
  <c r="E261" i="3" s="1"/>
  <c r="H261" i="3" s="1"/>
  <c r="AH261" i="3" l="1"/>
  <c r="D261" i="3"/>
  <c r="F261" i="3" s="1"/>
  <c r="AG261" i="3"/>
  <c r="K261" i="3"/>
  <c r="AE261" i="3" s="1"/>
  <c r="G261" i="3" l="1"/>
  <c r="I261" i="3" s="1"/>
  <c r="V261" i="3"/>
  <c r="A262" i="3"/>
  <c r="B262" i="3" s="1"/>
  <c r="M261" i="3" l="1"/>
  <c r="N261" i="3" s="1"/>
  <c r="J261" i="3"/>
  <c r="L261" i="3" s="1"/>
  <c r="W261" i="3"/>
  <c r="AA262" i="3"/>
  <c r="Z262" i="3"/>
  <c r="P262" i="3"/>
  <c r="Q262" i="3" s="1"/>
  <c r="R262" i="3" s="1"/>
  <c r="S262" i="3" s="1"/>
  <c r="AD262" i="3"/>
  <c r="AC262" i="3"/>
  <c r="T262" i="3" l="1"/>
  <c r="AG262" i="3" s="1"/>
  <c r="U261" i="3"/>
  <c r="Y260" i="3"/>
  <c r="AH262" i="3" l="1"/>
  <c r="D262" i="3"/>
  <c r="G262" i="3" s="1"/>
  <c r="E262" i="3"/>
  <c r="H262" i="3" s="1"/>
  <c r="K262" i="3" s="1"/>
  <c r="AE262" i="3" s="1"/>
  <c r="F262" i="3" l="1"/>
  <c r="I262" i="3"/>
  <c r="J262" i="3"/>
  <c r="M262" i="3"/>
  <c r="N262" i="3" s="1"/>
  <c r="V262" i="3"/>
  <c r="A263" i="3"/>
  <c r="B263" i="3" s="1"/>
  <c r="W262" i="3" l="1"/>
  <c r="Z263" i="3"/>
  <c r="AD263" i="3"/>
  <c r="AC263" i="3"/>
  <c r="AA263" i="3"/>
  <c r="P263" i="3"/>
  <c r="Q263" i="3" s="1"/>
  <c r="R263" i="3" s="1"/>
  <c r="S263" i="3" s="1"/>
  <c r="L262" i="3"/>
  <c r="T263" i="3" l="1"/>
  <c r="AG263" i="3" s="1"/>
  <c r="U262" i="3"/>
  <c r="Y261" i="3"/>
  <c r="AH263" i="3" l="1"/>
  <c r="E263" i="3"/>
  <c r="H263" i="3" s="1"/>
  <c r="K263" i="3" s="1"/>
  <c r="AE263" i="3" s="1"/>
  <c r="D263" i="3"/>
  <c r="F263" i="3" l="1"/>
  <c r="G263" i="3"/>
  <c r="V263" i="3"/>
  <c r="A264" i="3"/>
  <c r="B264" i="3" s="1"/>
  <c r="Z264" i="3" l="1"/>
  <c r="P264" i="3"/>
  <c r="Q264" i="3" s="1"/>
  <c r="R264" i="3" s="1"/>
  <c r="S264" i="3" s="1"/>
  <c r="AA264" i="3"/>
  <c r="AD264" i="3"/>
  <c r="AC264" i="3"/>
  <c r="I263" i="3"/>
  <c r="W263" i="3" s="1"/>
  <c r="J263" i="3"/>
  <c r="M263" i="3"/>
  <c r="N263" i="3" s="1"/>
  <c r="L263" i="3" l="1"/>
  <c r="T264" i="3"/>
  <c r="U263" i="3" l="1"/>
  <c r="D264" i="3" s="1"/>
  <c r="AG264" i="3"/>
  <c r="AH264" i="3"/>
  <c r="Y262" i="3"/>
  <c r="E264" i="3" l="1"/>
  <c r="H264" i="3" s="1"/>
  <c r="K264" i="3" s="1"/>
  <c r="AE264" i="3" s="1"/>
  <c r="G264" i="3"/>
  <c r="F264" i="3" l="1"/>
  <c r="V264" i="3"/>
  <c r="A265" i="3"/>
  <c r="B265" i="3" s="1"/>
  <c r="I264" i="3"/>
  <c r="J264" i="3"/>
  <c r="M264" i="3"/>
  <c r="N264" i="3" s="1"/>
  <c r="L264" i="3" l="1"/>
  <c r="AA265" i="3"/>
  <c r="Z265" i="3"/>
  <c r="AD265" i="3"/>
  <c r="AC265" i="3"/>
  <c r="P265" i="3"/>
  <c r="Q265" i="3" s="1"/>
  <c r="R265" i="3" s="1"/>
  <c r="S265" i="3" s="1"/>
  <c r="W264" i="3"/>
  <c r="T265" i="3" l="1"/>
  <c r="AG265" i="3" s="1"/>
  <c r="U264" i="3"/>
  <c r="Y263" i="3"/>
  <c r="D265" i="3" l="1"/>
  <c r="G265" i="3" s="1"/>
  <c r="AH265" i="3"/>
  <c r="E265" i="3"/>
  <c r="H265" i="3" s="1"/>
  <c r="I265" i="3" l="1"/>
  <c r="J265" i="3"/>
  <c r="M265" i="3"/>
  <c r="N265" i="3" s="1"/>
  <c r="K265" i="3"/>
  <c r="AE265" i="3" s="1"/>
  <c r="F265" i="3"/>
  <c r="V265" i="3" l="1"/>
  <c r="W265" i="3" s="1"/>
  <c r="A266" i="3"/>
  <c r="B266" i="3" s="1"/>
  <c r="L265" i="3"/>
  <c r="U265" i="3" l="1"/>
  <c r="Y264" i="3"/>
  <c r="AD266" i="3"/>
  <c r="P266" i="3"/>
  <c r="Q266" i="3" s="1"/>
  <c r="R266" i="3" s="1"/>
  <c r="S266" i="3" s="1"/>
  <c r="AA266" i="3"/>
  <c r="AC266" i="3"/>
  <c r="Z266" i="3"/>
  <c r="T266" i="3" l="1"/>
  <c r="AG266" i="3" s="1"/>
  <c r="AH266" i="3" l="1"/>
  <c r="D266" i="3"/>
  <c r="G266" i="3" s="1"/>
  <c r="E266" i="3"/>
  <c r="H266" i="3" s="1"/>
  <c r="K266" i="3" l="1"/>
  <c r="AE266" i="3" s="1"/>
  <c r="I266" i="3"/>
  <c r="J266" i="3"/>
  <c r="M266" i="3"/>
  <c r="N266" i="3" s="1"/>
  <c r="F266" i="3"/>
  <c r="V266" i="3" l="1"/>
  <c r="W266" i="3" s="1"/>
  <c r="A267" i="3"/>
  <c r="B267" i="3" s="1"/>
  <c r="L266" i="3"/>
  <c r="U266" i="3" l="1"/>
  <c r="Y265" i="3"/>
  <c r="AD267" i="3"/>
  <c r="AC267" i="3"/>
  <c r="P267" i="3"/>
  <c r="Q267" i="3" s="1"/>
  <c r="R267" i="3" s="1"/>
  <c r="S267" i="3" s="1"/>
  <c r="Z267" i="3"/>
  <c r="AA267" i="3"/>
  <c r="T267" i="3" l="1"/>
  <c r="AH267" i="3" s="1"/>
  <c r="D267" i="3" l="1"/>
  <c r="G267" i="3" s="1"/>
  <c r="E267" i="3"/>
  <c r="H267" i="3" s="1"/>
  <c r="K267" i="3" s="1"/>
  <c r="AE267" i="3" s="1"/>
  <c r="AG267" i="3"/>
  <c r="F267" i="3" l="1"/>
  <c r="I267" i="3"/>
  <c r="J267" i="3"/>
  <c r="M267" i="3"/>
  <c r="N267" i="3" s="1"/>
  <c r="V267" i="3"/>
  <c r="A268" i="3"/>
  <c r="B268" i="3" s="1"/>
  <c r="W267" i="3" l="1"/>
  <c r="Z268" i="3"/>
  <c r="AA268" i="3"/>
  <c r="AC268" i="3"/>
  <c r="P268" i="3"/>
  <c r="Q268" i="3" s="1"/>
  <c r="R268" i="3" s="1"/>
  <c r="S268" i="3" s="1"/>
  <c r="AD268" i="3"/>
  <c r="L267" i="3"/>
  <c r="T268" i="3" l="1"/>
  <c r="AG268" i="3" s="1"/>
  <c r="U267" i="3"/>
  <c r="Y266" i="3"/>
  <c r="D268" i="3" l="1"/>
  <c r="G268" i="3" s="1"/>
  <c r="AH268" i="3"/>
  <c r="E268" i="3"/>
  <c r="H268" i="3" s="1"/>
  <c r="K268" i="3" s="1"/>
  <c r="AE268" i="3" s="1"/>
  <c r="F268" i="3" l="1"/>
  <c r="V268" i="3"/>
  <c r="A269" i="3"/>
  <c r="B269" i="3" s="1"/>
  <c r="I268" i="3"/>
  <c r="J268" i="3"/>
  <c r="M268" i="3"/>
  <c r="N268" i="3" s="1"/>
  <c r="Z269" i="3" l="1"/>
  <c r="AC269" i="3"/>
  <c r="AD269" i="3"/>
  <c r="AA269" i="3"/>
  <c r="P269" i="3"/>
  <c r="Q269" i="3" s="1"/>
  <c r="R269" i="3" s="1"/>
  <c r="S269" i="3" s="1"/>
  <c r="L268" i="3"/>
  <c r="W268" i="3"/>
  <c r="T269" i="3" l="1"/>
  <c r="AH269" i="3" s="1"/>
  <c r="U268" i="3"/>
  <c r="Y267" i="3"/>
  <c r="D269" i="3" l="1"/>
  <c r="G269" i="3" s="1"/>
  <c r="AG269" i="3"/>
  <c r="E269" i="3"/>
  <c r="H269" i="3" s="1"/>
  <c r="K269" i="3" s="1"/>
  <c r="AE269" i="3" s="1"/>
  <c r="F269" i="3" l="1"/>
  <c r="V269" i="3"/>
  <c r="A270" i="3"/>
  <c r="B270" i="3" s="1"/>
  <c r="I269" i="3"/>
  <c r="J269" i="3"/>
  <c r="M269" i="3"/>
  <c r="N269" i="3" s="1"/>
  <c r="L269" i="3" l="1"/>
  <c r="P270" i="3"/>
  <c r="Q270" i="3" s="1"/>
  <c r="R270" i="3" s="1"/>
  <c r="S270" i="3" s="1"/>
  <c r="Z270" i="3"/>
  <c r="AC270" i="3"/>
  <c r="AD270" i="3"/>
  <c r="AA270" i="3"/>
  <c r="W269" i="3"/>
  <c r="T270" i="3" l="1"/>
  <c r="AG270" i="3" s="1"/>
  <c r="U269" i="3"/>
  <c r="Y268" i="3"/>
  <c r="AH270" i="3" l="1"/>
  <c r="E270" i="3"/>
  <c r="H270" i="3" s="1"/>
  <c r="K270" i="3" s="1"/>
  <c r="AE270" i="3" s="1"/>
  <c r="D270" i="3"/>
  <c r="F270" i="3" l="1"/>
  <c r="G270" i="3"/>
  <c r="I270" i="3" s="1"/>
  <c r="V270" i="3"/>
  <c r="A271" i="3"/>
  <c r="B271" i="3" s="1"/>
  <c r="W270" i="3" l="1"/>
  <c r="M270" i="3"/>
  <c r="N270" i="3" s="1"/>
  <c r="J270" i="3"/>
  <c r="L270" i="3" s="1"/>
  <c r="AC271" i="3"/>
  <c r="AD271" i="3"/>
  <c r="Z271" i="3"/>
  <c r="AA271" i="3"/>
  <c r="P271" i="3"/>
  <c r="Q271" i="3" s="1"/>
  <c r="R271" i="3" s="1"/>
  <c r="S271" i="3" s="1"/>
  <c r="T271" i="3" l="1"/>
  <c r="AG271" i="3" s="1"/>
  <c r="U270" i="3"/>
  <c r="Y269" i="3"/>
  <c r="AH271" i="3" l="1"/>
  <c r="E271" i="3"/>
  <c r="H271" i="3" s="1"/>
  <c r="K271" i="3" s="1"/>
  <c r="AE271" i="3" s="1"/>
  <c r="D271" i="3"/>
  <c r="F271" i="3" l="1"/>
  <c r="G271" i="3"/>
  <c r="I271" i="3" s="1"/>
  <c r="V271" i="3"/>
  <c r="A272" i="3"/>
  <c r="B272" i="3" s="1"/>
  <c r="M271" i="3" l="1"/>
  <c r="N271" i="3" s="1"/>
  <c r="J271" i="3"/>
  <c r="L271" i="3" s="1"/>
  <c r="W271" i="3"/>
  <c r="AC272" i="3"/>
  <c r="AD272" i="3"/>
  <c r="P272" i="3"/>
  <c r="Q272" i="3" s="1"/>
  <c r="R272" i="3" s="1"/>
  <c r="S272" i="3" s="1"/>
  <c r="AA272" i="3"/>
  <c r="Z272" i="3"/>
  <c r="T272" i="3" l="1"/>
  <c r="AH272" i="3" s="1"/>
  <c r="U271" i="3"/>
  <c r="Y270" i="3"/>
  <c r="D272" i="3" l="1"/>
  <c r="G272" i="3" s="1"/>
  <c r="AG272" i="3"/>
  <c r="E272" i="3"/>
  <c r="H272" i="3" s="1"/>
  <c r="K272" i="3" s="1"/>
  <c r="AE272" i="3" s="1"/>
  <c r="F272" i="3" l="1"/>
  <c r="I272" i="3"/>
  <c r="J272" i="3"/>
  <c r="M272" i="3"/>
  <c r="N272" i="3" s="1"/>
  <c r="V272" i="3"/>
  <c r="A273" i="3"/>
  <c r="B273" i="3" s="1"/>
  <c r="W272" i="3" l="1"/>
  <c r="Z273" i="3"/>
  <c r="AC273" i="3"/>
  <c r="AD273" i="3"/>
  <c r="AA273" i="3"/>
  <c r="P273" i="3"/>
  <c r="Q273" i="3" s="1"/>
  <c r="R273" i="3" s="1"/>
  <c r="S273" i="3" s="1"/>
  <c r="L272" i="3"/>
  <c r="T273" i="3" l="1"/>
  <c r="AG273" i="3" s="1"/>
  <c r="U272" i="3"/>
  <c r="Y271" i="3"/>
  <c r="D273" i="3" l="1"/>
  <c r="G273" i="3" s="1"/>
  <c r="AH273" i="3"/>
  <c r="E273" i="3"/>
  <c r="H273" i="3" s="1"/>
  <c r="K273" i="3" s="1"/>
  <c r="AE273" i="3" s="1"/>
  <c r="F273" i="3" l="1"/>
  <c r="V273" i="3"/>
  <c r="A274" i="3"/>
  <c r="B274" i="3" s="1"/>
  <c r="I273" i="3"/>
  <c r="J273" i="3"/>
  <c r="M273" i="3"/>
  <c r="N273" i="3" s="1"/>
  <c r="L273" i="3" l="1"/>
  <c r="AA274" i="3"/>
  <c r="P274" i="3"/>
  <c r="Q274" i="3" s="1"/>
  <c r="R274" i="3" s="1"/>
  <c r="S274" i="3" s="1"/>
  <c r="AD274" i="3"/>
  <c r="Z274" i="3"/>
  <c r="AC274" i="3"/>
  <c r="W273" i="3"/>
  <c r="T274" i="3" l="1"/>
  <c r="AG274" i="3" s="1"/>
  <c r="U273" i="3"/>
  <c r="Y272" i="3"/>
  <c r="E274" i="3" l="1"/>
  <c r="H274" i="3" s="1"/>
  <c r="K274" i="3" s="1"/>
  <c r="AE274" i="3" s="1"/>
  <c r="D274" i="3"/>
  <c r="G274" i="3" s="1"/>
  <c r="AH274" i="3"/>
  <c r="F274" i="3" l="1"/>
  <c r="I274" i="3"/>
  <c r="J274" i="3"/>
  <c r="M274" i="3"/>
  <c r="N274" i="3" s="1"/>
  <c r="V274" i="3"/>
  <c r="A275" i="3"/>
  <c r="B275" i="3" s="1"/>
  <c r="W274" i="3" l="1"/>
  <c r="AA275" i="3"/>
  <c r="P275" i="3"/>
  <c r="Q275" i="3" s="1"/>
  <c r="R275" i="3" s="1"/>
  <c r="S275" i="3" s="1"/>
  <c r="AC275" i="3"/>
  <c r="Z275" i="3"/>
  <c r="AD275" i="3"/>
  <c r="L274" i="3"/>
  <c r="U274" i="3" l="1"/>
  <c r="Y273" i="3"/>
  <c r="T275" i="3"/>
  <c r="AH275" i="3" s="1"/>
  <c r="E275" i="3" l="1"/>
  <c r="H275" i="3" s="1"/>
  <c r="AG275" i="3"/>
  <c r="D275" i="3"/>
  <c r="F275" i="3" l="1"/>
  <c r="G275" i="3"/>
  <c r="K275" i="3"/>
  <c r="AE275" i="3" s="1"/>
  <c r="V275" i="3" l="1"/>
  <c r="A276" i="3"/>
  <c r="B276" i="3" s="1"/>
  <c r="I275" i="3"/>
  <c r="J275" i="3"/>
  <c r="M275" i="3"/>
  <c r="N275" i="3" s="1"/>
  <c r="L275" i="3" l="1"/>
  <c r="P276" i="3"/>
  <c r="Q276" i="3" s="1"/>
  <c r="R276" i="3" s="1"/>
  <c r="S276" i="3" s="1"/>
  <c r="AA276" i="3"/>
  <c r="Z276" i="3"/>
  <c r="AD276" i="3"/>
  <c r="AC276" i="3"/>
  <c r="W275" i="3"/>
  <c r="T276" i="3" l="1"/>
  <c r="AG276" i="3" s="1"/>
  <c r="U275" i="3"/>
  <c r="Y274" i="3"/>
  <c r="E276" i="3" l="1"/>
  <c r="H276" i="3" s="1"/>
  <c r="K276" i="3" s="1"/>
  <c r="AE276" i="3" s="1"/>
  <c r="AH276" i="3"/>
  <c r="D276" i="3"/>
  <c r="F276" i="3" l="1"/>
  <c r="G276" i="3"/>
  <c r="I276" i="3" s="1"/>
  <c r="V276" i="3"/>
  <c r="A277" i="3"/>
  <c r="B277" i="3" s="1"/>
  <c r="J276" i="3" l="1"/>
  <c r="L276" i="3" s="1"/>
  <c r="W276" i="3"/>
  <c r="M276" i="3"/>
  <c r="N276" i="3" s="1"/>
  <c r="AA277" i="3"/>
  <c r="P277" i="3"/>
  <c r="Q277" i="3" s="1"/>
  <c r="R277" i="3" s="1"/>
  <c r="S277" i="3" s="1"/>
  <c r="Z277" i="3"/>
  <c r="AC277" i="3"/>
  <c r="AD277" i="3"/>
  <c r="T277" i="3" l="1"/>
  <c r="AH277" i="3" s="1"/>
  <c r="U276" i="3"/>
  <c r="Y275" i="3"/>
  <c r="AG277" i="3" l="1"/>
  <c r="D277" i="3"/>
  <c r="G277" i="3" s="1"/>
  <c r="E277" i="3"/>
  <c r="H277" i="3" s="1"/>
  <c r="K277" i="3" s="1"/>
  <c r="AE277" i="3" s="1"/>
  <c r="F277" i="3" l="1"/>
  <c r="V277" i="3"/>
  <c r="A278" i="3"/>
  <c r="B278" i="3" s="1"/>
  <c r="I277" i="3"/>
  <c r="J277" i="3"/>
  <c r="M277" i="3"/>
  <c r="N277" i="3" s="1"/>
  <c r="AA278" i="3" l="1"/>
  <c r="AD278" i="3"/>
  <c r="P278" i="3"/>
  <c r="Q278" i="3" s="1"/>
  <c r="R278" i="3" s="1"/>
  <c r="S278" i="3" s="1"/>
  <c r="AC278" i="3"/>
  <c r="Z278" i="3"/>
  <c r="L277" i="3"/>
  <c r="W277" i="3"/>
  <c r="U277" i="3" l="1"/>
  <c r="Y276" i="3"/>
  <c r="T278" i="3"/>
  <c r="AH278" i="3" s="1"/>
  <c r="E278" i="3" l="1"/>
  <c r="H278" i="3" s="1"/>
  <c r="K278" i="3" s="1"/>
  <c r="AE278" i="3" s="1"/>
  <c r="D278" i="3"/>
  <c r="AG278" i="3"/>
  <c r="F278" i="3" l="1"/>
  <c r="G278" i="3"/>
  <c r="I278" i="3" s="1"/>
  <c r="V278" i="3"/>
  <c r="A279" i="3"/>
  <c r="B279" i="3" s="1"/>
  <c r="M278" i="3" l="1"/>
  <c r="N278" i="3" s="1"/>
  <c r="J278" i="3"/>
  <c r="L278" i="3" s="1"/>
  <c r="W278" i="3"/>
  <c r="AA279" i="3"/>
  <c r="AC279" i="3"/>
  <c r="Z279" i="3"/>
  <c r="AD279" i="3"/>
  <c r="P279" i="3"/>
  <c r="Q279" i="3" s="1"/>
  <c r="R279" i="3" s="1"/>
  <c r="S279" i="3" s="1"/>
  <c r="T279" i="3" l="1"/>
  <c r="AG279" i="3" s="1"/>
  <c r="U278" i="3"/>
  <c r="Y277" i="3"/>
  <c r="D279" i="3" l="1"/>
  <c r="G279" i="3" s="1"/>
  <c r="AH279" i="3"/>
  <c r="E279" i="3"/>
  <c r="H279" i="3" s="1"/>
  <c r="K279" i="3" s="1"/>
  <c r="AE279" i="3" s="1"/>
  <c r="F279" i="3" l="1"/>
  <c r="V279" i="3"/>
  <c r="A280" i="3"/>
  <c r="B280" i="3" s="1"/>
  <c r="I279" i="3"/>
  <c r="J279" i="3"/>
  <c r="M279" i="3"/>
  <c r="N279" i="3" s="1"/>
  <c r="P280" i="3" l="1"/>
  <c r="Q280" i="3" s="1"/>
  <c r="R280" i="3" s="1"/>
  <c r="S280" i="3" s="1"/>
  <c r="AD280" i="3"/>
  <c r="AC280" i="3"/>
  <c r="AA280" i="3"/>
  <c r="Z280" i="3"/>
  <c r="L279" i="3"/>
  <c r="W279" i="3"/>
  <c r="U279" i="3" l="1"/>
  <c r="Y278" i="3"/>
  <c r="T280" i="3"/>
  <c r="D280" i="3" l="1"/>
  <c r="G280" i="3" s="1"/>
  <c r="E280" i="3"/>
  <c r="H280" i="3" s="1"/>
  <c r="K280" i="3" s="1"/>
  <c r="AE280" i="3" s="1"/>
  <c r="AG280" i="3"/>
  <c r="AH280" i="3"/>
  <c r="F280" i="3" l="1"/>
  <c r="V280" i="3"/>
  <c r="A281" i="3"/>
  <c r="B281" i="3" s="1"/>
  <c r="I280" i="3"/>
  <c r="J280" i="3"/>
  <c r="M280" i="3"/>
  <c r="N280" i="3" s="1"/>
  <c r="P281" i="3" l="1"/>
  <c r="Q281" i="3" s="1"/>
  <c r="R281" i="3" s="1"/>
  <c r="S281" i="3" s="1"/>
  <c r="AA281" i="3"/>
  <c r="Z281" i="3"/>
  <c r="AC281" i="3"/>
  <c r="AD281" i="3"/>
  <c r="L280" i="3"/>
  <c r="W280" i="3"/>
  <c r="U280" i="3" l="1"/>
  <c r="Y279" i="3"/>
  <c r="T281" i="3"/>
  <c r="AH281" i="3" s="1"/>
  <c r="E281" i="3" l="1"/>
  <c r="H281" i="3" s="1"/>
  <c r="K281" i="3" s="1"/>
  <c r="AE281" i="3" s="1"/>
  <c r="D281" i="3"/>
  <c r="G281" i="3" s="1"/>
  <c r="AG281" i="3"/>
  <c r="F281" i="3" l="1"/>
  <c r="I281" i="3"/>
  <c r="J281" i="3"/>
  <c r="M281" i="3"/>
  <c r="N281" i="3" s="1"/>
  <c r="V281" i="3"/>
  <c r="A282" i="3"/>
  <c r="B282" i="3" s="1"/>
  <c r="W281" i="3" l="1"/>
  <c r="AD282" i="3"/>
  <c r="AA282" i="3"/>
  <c r="Z282" i="3"/>
  <c r="P282" i="3"/>
  <c r="Q282" i="3" s="1"/>
  <c r="R282" i="3" s="1"/>
  <c r="S282" i="3" s="1"/>
  <c r="AC282" i="3"/>
  <c r="L281" i="3"/>
  <c r="T282" i="3" l="1"/>
  <c r="AH282" i="3" s="1"/>
  <c r="U281" i="3"/>
  <c r="Y280" i="3"/>
  <c r="D282" i="3" l="1"/>
  <c r="G282" i="3" s="1"/>
  <c r="AG282" i="3"/>
  <c r="E282" i="3"/>
  <c r="H282" i="3" s="1"/>
  <c r="K282" i="3" s="1"/>
  <c r="AE282" i="3" s="1"/>
  <c r="F282" i="3" l="1"/>
  <c r="V282" i="3"/>
  <c r="A283" i="3"/>
  <c r="B283" i="3" s="1"/>
  <c r="I282" i="3"/>
  <c r="J282" i="3"/>
  <c r="M282" i="3"/>
  <c r="N282" i="3" s="1"/>
  <c r="AC283" i="3" l="1"/>
  <c r="AA283" i="3"/>
  <c r="Z283" i="3"/>
  <c r="AD283" i="3"/>
  <c r="P283" i="3"/>
  <c r="Q283" i="3" s="1"/>
  <c r="R283" i="3" s="1"/>
  <c r="S283" i="3" s="1"/>
  <c r="L282" i="3"/>
  <c r="W282" i="3"/>
  <c r="T283" i="3" l="1"/>
  <c r="U282" i="3"/>
  <c r="Y281" i="3"/>
  <c r="E283" i="3" l="1"/>
  <c r="H283" i="3" s="1"/>
  <c r="K283" i="3" s="1"/>
  <c r="AE283" i="3" s="1"/>
  <c r="AG283" i="3"/>
  <c r="AH283" i="3"/>
  <c r="D283" i="3"/>
  <c r="G283" i="3" s="1"/>
  <c r="F283" i="3" l="1"/>
  <c r="I283" i="3"/>
  <c r="J283" i="3"/>
  <c r="M283" i="3"/>
  <c r="N283" i="3" s="1"/>
  <c r="V283" i="3"/>
  <c r="A284" i="3"/>
  <c r="B284" i="3" s="1"/>
  <c r="W283" i="3" l="1"/>
  <c r="L283" i="3"/>
  <c r="AC284" i="3"/>
  <c r="P284" i="3"/>
  <c r="Q284" i="3" s="1"/>
  <c r="R284" i="3" s="1"/>
  <c r="S284" i="3" s="1"/>
  <c r="AD284" i="3"/>
  <c r="Z284" i="3"/>
  <c r="AA284" i="3"/>
  <c r="T284" i="3" l="1"/>
  <c r="AG284" i="3" s="1"/>
  <c r="U283" i="3"/>
  <c r="Y282" i="3"/>
  <c r="AH284" i="3" l="1"/>
  <c r="E284" i="3"/>
  <c r="H284" i="3" s="1"/>
  <c r="K284" i="3" s="1"/>
  <c r="AE284" i="3" s="1"/>
  <c r="D284" i="3"/>
  <c r="F284" i="3" l="1"/>
  <c r="G284" i="3"/>
  <c r="V284" i="3"/>
  <c r="A285" i="3"/>
  <c r="B285" i="3" s="1"/>
  <c r="P285" i="3" l="1"/>
  <c r="Q285" i="3" s="1"/>
  <c r="R285" i="3" s="1"/>
  <c r="S285" i="3" s="1"/>
  <c r="AA285" i="3"/>
  <c r="AC285" i="3"/>
  <c r="AD285" i="3"/>
  <c r="Z285" i="3"/>
  <c r="I284" i="3"/>
  <c r="W284" i="3" s="1"/>
  <c r="J284" i="3"/>
  <c r="M284" i="3"/>
  <c r="N284" i="3" s="1"/>
  <c r="L284" i="3" l="1"/>
  <c r="T285" i="3"/>
  <c r="U284" i="3" l="1"/>
  <c r="E285" i="3" s="1"/>
  <c r="H285" i="3" s="1"/>
  <c r="AH285" i="3"/>
  <c r="AG285" i="3"/>
  <c r="Y283" i="3"/>
  <c r="D285" i="3" l="1"/>
  <c r="F285" i="3" s="1"/>
  <c r="K285" i="3"/>
  <c r="AE285" i="3" s="1"/>
  <c r="G285" i="3" l="1"/>
  <c r="I285" i="3" s="1"/>
  <c r="V285" i="3"/>
  <c r="A286" i="3"/>
  <c r="B286" i="3" s="1"/>
  <c r="M285" i="3" l="1"/>
  <c r="N285" i="3" s="1"/>
  <c r="J285" i="3"/>
  <c r="L285" i="3" s="1"/>
  <c r="W285" i="3"/>
  <c r="AD286" i="3"/>
  <c r="AC286" i="3"/>
  <c r="Z286" i="3"/>
  <c r="AA286" i="3"/>
  <c r="P286" i="3"/>
  <c r="Q286" i="3" s="1"/>
  <c r="R286" i="3" s="1"/>
  <c r="S286" i="3" s="1"/>
  <c r="T286" i="3" l="1"/>
  <c r="AH286" i="3" s="1"/>
  <c r="U285" i="3"/>
  <c r="Y284" i="3"/>
  <c r="D286" i="3" l="1"/>
  <c r="G286" i="3" s="1"/>
  <c r="AG286" i="3"/>
  <c r="E286" i="3"/>
  <c r="H286" i="3" s="1"/>
  <c r="K286" i="3" l="1"/>
  <c r="AE286" i="3" s="1"/>
  <c r="I286" i="3"/>
  <c r="J286" i="3"/>
  <c r="M286" i="3"/>
  <c r="N286" i="3" s="1"/>
  <c r="F286" i="3"/>
  <c r="L286" i="3" l="1"/>
  <c r="V286" i="3"/>
  <c r="W286" i="3" s="1"/>
  <c r="A287" i="3"/>
  <c r="B287" i="3" s="1"/>
  <c r="AD287" i="3" l="1"/>
  <c r="AA287" i="3"/>
  <c r="Z287" i="3"/>
  <c r="P287" i="3"/>
  <c r="Q287" i="3" s="1"/>
  <c r="R287" i="3" s="1"/>
  <c r="S287" i="3" s="1"/>
  <c r="AC287" i="3"/>
  <c r="U286" i="3"/>
  <c r="Y285" i="3"/>
  <c r="T287" i="3" l="1"/>
  <c r="D287" i="3" s="1"/>
  <c r="E287" i="3" l="1"/>
  <c r="H287" i="3" s="1"/>
  <c r="K287" i="3" s="1"/>
  <c r="AE287" i="3" s="1"/>
  <c r="AG287" i="3"/>
  <c r="AH287" i="3"/>
  <c r="G287" i="3"/>
  <c r="F287" i="3" l="1"/>
  <c r="I287" i="3"/>
  <c r="J287" i="3"/>
  <c r="M287" i="3"/>
  <c r="N287" i="3" s="1"/>
  <c r="V287" i="3"/>
  <c r="A288" i="3"/>
  <c r="B288" i="3" s="1"/>
  <c r="W287" i="3" l="1"/>
  <c r="P288" i="3"/>
  <c r="Q288" i="3" s="1"/>
  <c r="R288" i="3" s="1"/>
  <c r="S288" i="3" s="1"/>
  <c r="Z288" i="3"/>
  <c r="AD288" i="3"/>
  <c r="AA288" i="3"/>
  <c r="AC288" i="3"/>
  <c r="L287" i="3"/>
  <c r="U287" i="3" l="1"/>
  <c r="Y286" i="3"/>
  <c r="T288" i="3"/>
  <c r="AG288" i="3" s="1"/>
  <c r="D288" i="3" l="1"/>
  <c r="G288" i="3" s="1"/>
  <c r="AH288" i="3"/>
  <c r="E288" i="3"/>
  <c r="H288" i="3" s="1"/>
  <c r="K288" i="3" l="1"/>
  <c r="AE288" i="3" s="1"/>
  <c r="I288" i="3"/>
  <c r="J288" i="3"/>
  <c r="M288" i="3"/>
  <c r="N288" i="3" s="1"/>
  <c r="F288" i="3"/>
  <c r="L288" i="3" l="1"/>
  <c r="V288" i="3"/>
  <c r="W288" i="3" s="1"/>
  <c r="A289" i="3"/>
  <c r="B289" i="3" s="1"/>
  <c r="AD289" i="3" l="1"/>
  <c r="P289" i="3"/>
  <c r="Q289" i="3" s="1"/>
  <c r="R289" i="3" s="1"/>
  <c r="S289" i="3" s="1"/>
  <c r="Z289" i="3"/>
  <c r="AA289" i="3"/>
  <c r="AC289" i="3"/>
  <c r="U288" i="3"/>
  <c r="Y287" i="3"/>
  <c r="T289" i="3" l="1"/>
  <c r="E289" i="3" s="1"/>
  <c r="H289" i="3" s="1"/>
  <c r="D289" i="3" l="1"/>
  <c r="F289" i="3" s="1"/>
  <c r="K289" i="3"/>
  <c r="AE289" i="3" s="1"/>
  <c r="AH289" i="3"/>
  <c r="AG289" i="3"/>
  <c r="G289" i="3" l="1"/>
  <c r="I289" i="3" s="1"/>
  <c r="V289" i="3"/>
  <c r="A290" i="3"/>
  <c r="B290" i="3" s="1"/>
  <c r="M289" i="3" l="1"/>
  <c r="N289" i="3" s="1"/>
  <c r="J289" i="3"/>
  <c r="L289" i="3" s="1"/>
  <c r="W289" i="3"/>
  <c r="AA290" i="3"/>
  <c r="AC290" i="3"/>
  <c r="Z290" i="3"/>
  <c r="AD290" i="3"/>
  <c r="P290" i="3"/>
  <c r="Q290" i="3" s="1"/>
  <c r="R290" i="3" s="1"/>
  <c r="S290" i="3" s="1"/>
  <c r="T290" i="3" l="1"/>
  <c r="AH290" i="3" s="1"/>
  <c r="U289" i="3"/>
  <c r="Y288" i="3"/>
  <c r="D290" i="3" l="1"/>
  <c r="G290" i="3" s="1"/>
  <c r="AG290" i="3"/>
  <c r="E290" i="3"/>
  <c r="H290" i="3" s="1"/>
  <c r="K290" i="3" s="1"/>
  <c r="AE290" i="3" s="1"/>
  <c r="F290" i="3" l="1"/>
  <c r="V290" i="3"/>
  <c r="A291" i="3"/>
  <c r="B291" i="3" s="1"/>
  <c r="I290" i="3"/>
  <c r="J290" i="3"/>
  <c r="M290" i="3"/>
  <c r="N290" i="3" s="1"/>
  <c r="L290" i="3" l="1"/>
  <c r="P291" i="3"/>
  <c r="Q291" i="3" s="1"/>
  <c r="R291" i="3" s="1"/>
  <c r="S291" i="3" s="1"/>
  <c r="AD291" i="3"/>
  <c r="Z291" i="3"/>
  <c r="AC291" i="3"/>
  <c r="AA291" i="3"/>
  <c r="W290" i="3"/>
  <c r="T291" i="3" l="1"/>
  <c r="AH291" i="3" s="1"/>
  <c r="U290" i="3"/>
  <c r="Y289" i="3"/>
  <c r="AG291" i="3" l="1"/>
  <c r="D291" i="3"/>
  <c r="G291" i="3" s="1"/>
  <c r="E291" i="3"/>
  <c r="H291" i="3" s="1"/>
  <c r="K291" i="3" s="1"/>
  <c r="AE291" i="3" s="1"/>
  <c r="F291" i="3" l="1"/>
  <c r="V291" i="3"/>
  <c r="A292" i="3"/>
  <c r="B292" i="3" s="1"/>
  <c r="I291" i="3"/>
  <c r="J291" i="3"/>
  <c r="M291" i="3"/>
  <c r="N291" i="3" s="1"/>
  <c r="W291" i="3" l="1"/>
  <c r="Z292" i="3"/>
  <c r="AC292" i="3"/>
  <c r="AD292" i="3"/>
  <c r="AA292" i="3"/>
  <c r="P292" i="3"/>
  <c r="Q292" i="3" s="1"/>
  <c r="R292" i="3" s="1"/>
  <c r="S292" i="3" s="1"/>
  <c r="L291" i="3"/>
  <c r="T292" i="3" l="1"/>
  <c r="AH292" i="3" s="1"/>
  <c r="U291" i="3"/>
  <c r="Y290" i="3"/>
  <c r="D292" i="3" l="1"/>
  <c r="G292" i="3" s="1"/>
  <c r="AG292" i="3"/>
  <c r="E292" i="3"/>
  <c r="H292" i="3" s="1"/>
  <c r="K292" i="3" s="1"/>
  <c r="AE292" i="3" s="1"/>
  <c r="F292" i="3" l="1"/>
  <c r="I292" i="3"/>
  <c r="J292" i="3"/>
  <c r="M292" i="3"/>
  <c r="N292" i="3" s="1"/>
  <c r="V292" i="3"/>
  <c r="A293" i="3"/>
  <c r="B293" i="3" s="1"/>
  <c r="W292" i="3" l="1"/>
  <c r="AD293" i="3"/>
  <c r="P293" i="3"/>
  <c r="Q293" i="3" s="1"/>
  <c r="R293" i="3" s="1"/>
  <c r="S293" i="3" s="1"/>
  <c r="AC293" i="3"/>
  <c r="AA293" i="3"/>
  <c r="Z293" i="3"/>
  <c r="L292" i="3"/>
  <c r="T293" i="3" l="1"/>
  <c r="AG293" i="3" s="1"/>
  <c r="U292" i="3"/>
  <c r="Y291" i="3"/>
  <c r="E293" i="3" l="1"/>
  <c r="H293" i="3" s="1"/>
  <c r="K293" i="3" s="1"/>
  <c r="AE293" i="3" s="1"/>
  <c r="AH293" i="3"/>
  <c r="D293" i="3"/>
  <c r="F293" i="3" l="1"/>
  <c r="G293" i="3"/>
  <c r="J293" i="3" s="1"/>
  <c r="V293" i="3"/>
  <c r="A294" i="3"/>
  <c r="B294" i="3" s="1"/>
  <c r="I293" i="3" l="1"/>
  <c r="W293" i="3" s="1"/>
  <c r="M293" i="3"/>
  <c r="N293" i="3" s="1"/>
  <c r="L293" i="3"/>
  <c r="P294" i="3"/>
  <c r="Q294" i="3" s="1"/>
  <c r="R294" i="3" s="1"/>
  <c r="S294" i="3" s="1"/>
  <c r="AA294" i="3"/>
  <c r="AC294" i="3"/>
  <c r="Z294" i="3"/>
  <c r="AD294" i="3"/>
  <c r="T294" i="3" l="1"/>
  <c r="AH294" i="3" s="1"/>
  <c r="U293" i="3"/>
  <c r="Y292" i="3"/>
  <c r="AG294" i="3" l="1"/>
  <c r="D294" i="3"/>
  <c r="G294" i="3" s="1"/>
  <c r="E294" i="3"/>
  <c r="H294" i="3" s="1"/>
  <c r="K294" i="3" s="1"/>
  <c r="AE294" i="3" s="1"/>
  <c r="F294" i="3" l="1"/>
  <c r="I294" i="3"/>
  <c r="J294" i="3"/>
  <c r="M294" i="3"/>
  <c r="N294" i="3" s="1"/>
  <c r="V294" i="3"/>
  <c r="A295" i="3"/>
  <c r="B295" i="3" s="1"/>
  <c r="W294" i="3" l="1"/>
  <c r="AC295" i="3"/>
  <c r="AA295" i="3"/>
  <c r="AD295" i="3"/>
  <c r="P295" i="3"/>
  <c r="Q295" i="3" s="1"/>
  <c r="R295" i="3" s="1"/>
  <c r="S295" i="3" s="1"/>
  <c r="Z295" i="3"/>
  <c r="L294" i="3"/>
  <c r="T295" i="3" l="1"/>
  <c r="AG295" i="3" s="1"/>
  <c r="U294" i="3"/>
  <c r="Y293" i="3"/>
  <c r="E295" i="3" l="1"/>
  <c r="H295" i="3" s="1"/>
  <c r="K295" i="3" s="1"/>
  <c r="AE295" i="3" s="1"/>
  <c r="AH295" i="3"/>
  <c r="D295" i="3"/>
  <c r="F295" i="3" l="1"/>
  <c r="G295" i="3"/>
  <c r="V295" i="3"/>
  <c r="A296" i="3"/>
  <c r="B296" i="3" s="1"/>
  <c r="AC296" i="3" l="1"/>
  <c r="Z296" i="3"/>
  <c r="AD296" i="3"/>
  <c r="AA296" i="3"/>
  <c r="P296" i="3"/>
  <c r="Q296" i="3" s="1"/>
  <c r="R296" i="3" s="1"/>
  <c r="S296" i="3" s="1"/>
  <c r="I295" i="3"/>
  <c r="W295" i="3" s="1"/>
  <c r="J295" i="3"/>
  <c r="M295" i="3"/>
  <c r="N295" i="3" s="1"/>
  <c r="L295" i="3" l="1"/>
  <c r="T296" i="3"/>
  <c r="U295" i="3" l="1"/>
  <c r="D296" i="3" s="1"/>
  <c r="AG296" i="3"/>
  <c r="AH296" i="3"/>
  <c r="Y294" i="3"/>
  <c r="E296" i="3" l="1"/>
  <c r="H296" i="3" s="1"/>
  <c r="K296" i="3" s="1"/>
  <c r="AE296" i="3" s="1"/>
  <c r="G296" i="3"/>
  <c r="F296" i="3" l="1"/>
  <c r="V296" i="3"/>
  <c r="A297" i="3"/>
  <c r="B297" i="3" s="1"/>
  <c r="I296" i="3"/>
  <c r="J296" i="3"/>
  <c r="M296" i="3"/>
  <c r="N296" i="3" s="1"/>
  <c r="L296" i="3" l="1"/>
  <c r="P297" i="3"/>
  <c r="Q297" i="3" s="1"/>
  <c r="R297" i="3" s="1"/>
  <c r="S297" i="3" s="1"/>
  <c r="AC297" i="3"/>
  <c r="AD297" i="3"/>
  <c r="AA297" i="3"/>
  <c r="Z297" i="3"/>
  <c r="W296" i="3"/>
  <c r="T297" i="3" l="1"/>
  <c r="AG297" i="3" s="1"/>
  <c r="U296" i="3"/>
  <c r="Y295" i="3"/>
  <c r="AH297" i="3" l="1"/>
  <c r="D297" i="3"/>
  <c r="G297" i="3" s="1"/>
  <c r="E297" i="3"/>
  <c r="H297" i="3" s="1"/>
  <c r="K297" i="3" s="1"/>
  <c r="AE297" i="3" s="1"/>
  <c r="F297" i="3" l="1"/>
  <c r="V297" i="3"/>
  <c r="A298" i="3"/>
  <c r="B298" i="3" s="1"/>
  <c r="I297" i="3"/>
  <c r="J297" i="3"/>
  <c r="M297" i="3"/>
  <c r="N297" i="3" s="1"/>
  <c r="L297" i="3" l="1"/>
  <c r="P298" i="3"/>
  <c r="Q298" i="3" s="1"/>
  <c r="R298" i="3" s="1"/>
  <c r="S298" i="3" s="1"/>
  <c r="AD298" i="3"/>
  <c r="AA298" i="3"/>
  <c r="AC298" i="3"/>
  <c r="Z298" i="3"/>
  <c r="W297" i="3"/>
  <c r="T298" i="3" l="1"/>
  <c r="AH298" i="3" s="1"/>
  <c r="U297" i="3"/>
  <c r="Y296" i="3"/>
  <c r="AG298" i="3" l="1"/>
  <c r="D298" i="3"/>
  <c r="G298" i="3" s="1"/>
  <c r="E298" i="3"/>
  <c r="H298" i="3" s="1"/>
  <c r="I298" i="3" l="1"/>
  <c r="J298" i="3"/>
  <c r="M298" i="3"/>
  <c r="N298" i="3" s="1"/>
  <c r="K298" i="3"/>
  <c r="AE298" i="3" s="1"/>
  <c r="F298" i="3"/>
  <c r="V298" i="3" l="1"/>
  <c r="W298" i="3" s="1"/>
  <c r="A299" i="3"/>
  <c r="B299" i="3" s="1"/>
  <c r="L298" i="3"/>
  <c r="U298" i="3" l="1"/>
  <c r="Y297" i="3"/>
  <c r="AC299" i="3"/>
  <c r="Z299" i="3"/>
  <c r="AD299" i="3"/>
  <c r="AA299" i="3"/>
  <c r="P299" i="3"/>
  <c r="Q299" i="3" s="1"/>
  <c r="R299" i="3" s="1"/>
  <c r="S299" i="3" s="1"/>
  <c r="T299" i="3" l="1"/>
  <c r="E299" i="3" s="1"/>
  <c r="H299" i="3" s="1"/>
  <c r="D299" i="3" l="1"/>
  <c r="F299" i="3" s="1"/>
  <c r="AH299" i="3"/>
  <c r="AG299" i="3"/>
  <c r="K299" i="3"/>
  <c r="AE299" i="3" s="1"/>
  <c r="G299" i="3" l="1"/>
  <c r="I299" i="3" s="1"/>
  <c r="V299" i="3"/>
  <c r="A300" i="3"/>
  <c r="B300" i="3" s="1"/>
  <c r="J299" i="3" l="1"/>
  <c r="L299" i="3" s="1"/>
  <c r="M299" i="3"/>
  <c r="N299" i="3" s="1"/>
  <c r="P300" i="3"/>
  <c r="Q300" i="3" s="1"/>
  <c r="R300" i="3" s="1"/>
  <c r="S300" i="3" s="1"/>
  <c r="AC300" i="3"/>
  <c r="Z300" i="3"/>
  <c r="AD300" i="3"/>
  <c r="AA300" i="3"/>
  <c r="W299" i="3"/>
  <c r="T300" i="3" l="1"/>
  <c r="U299" i="3"/>
  <c r="Y298" i="3"/>
  <c r="E300" i="3" l="1"/>
  <c r="H300" i="3" s="1"/>
  <c r="K300" i="3" s="1"/>
  <c r="AE300" i="3" s="1"/>
  <c r="AH300" i="3"/>
  <c r="AG300" i="3"/>
  <c r="D300" i="3"/>
  <c r="F300" i="3" l="1"/>
  <c r="G300" i="3"/>
  <c r="V300" i="3"/>
  <c r="A301" i="3"/>
  <c r="B301" i="3" s="1"/>
  <c r="Z301" i="3" l="1"/>
  <c r="AD301" i="3"/>
  <c r="AA301" i="3"/>
  <c r="AC301" i="3"/>
  <c r="P301" i="3"/>
  <c r="Q301" i="3" s="1"/>
  <c r="R301" i="3" s="1"/>
  <c r="S301" i="3" s="1"/>
  <c r="I300" i="3"/>
  <c r="W300" i="3" s="1"/>
  <c r="J300" i="3"/>
  <c r="M300" i="3"/>
  <c r="N300" i="3" s="1"/>
  <c r="L300" i="3" l="1"/>
  <c r="T301" i="3"/>
  <c r="U300" i="3" l="1"/>
  <c r="D301" i="3" s="1"/>
  <c r="AG301" i="3"/>
  <c r="AH301" i="3"/>
  <c r="Y299" i="3"/>
  <c r="E301" i="3" l="1"/>
  <c r="H301" i="3" s="1"/>
  <c r="K301" i="3" s="1"/>
  <c r="AE301" i="3" s="1"/>
  <c r="G301" i="3"/>
  <c r="F301" i="3" l="1"/>
  <c r="V301" i="3"/>
  <c r="A302" i="3"/>
  <c r="B302" i="3" s="1"/>
  <c r="I301" i="3"/>
  <c r="J301" i="3"/>
  <c r="M301" i="3"/>
  <c r="N301" i="3" s="1"/>
  <c r="Z302" i="3" l="1"/>
  <c r="P302" i="3"/>
  <c r="Q302" i="3" s="1"/>
  <c r="R302" i="3" s="1"/>
  <c r="S302" i="3" s="1"/>
  <c r="AD302" i="3"/>
  <c r="AA302" i="3"/>
  <c r="AC302" i="3"/>
  <c r="L301" i="3"/>
  <c r="W301" i="3"/>
  <c r="T302" i="3" l="1"/>
  <c r="U301" i="3"/>
  <c r="Y300" i="3"/>
  <c r="D302" i="3" l="1"/>
  <c r="AG302" i="3"/>
  <c r="E302" i="3"/>
  <c r="H302" i="3" s="1"/>
  <c r="K302" i="3" s="1"/>
  <c r="AE302" i="3" s="1"/>
  <c r="AH302" i="3"/>
  <c r="F302" i="3" l="1"/>
  <c r="G302" i="3"/>
  <c r="I302" i="3" s="1"/>
  <c r="V302" i="3"/>
  <c r="A303" i="3"/>
  <c r="B303" i="3" s="1"/>
  <c r="M302" i="3" l="1"/>
  <c r="N302" i="3" s="1"/>
  <c r="J302" i="3"/>
  <c r="L302" i="3" s="1"/>
  <c r="P303" i="3"/>
  <c r="Q303" i="3" s="1"/>
  <c r="R303" i="3" s="1"/>
  <c r="S303" i="3" s="1"/>
  <c r="AD303" i="3"/>
  <c r="Z303" i="3"/>
  <c r="AA303" i="3"/>
  <c r="AC303" i="3"/>
  <c r="W302" i="3"/>
  <c r="U302" i="3" l="1"/>
  <c r="Y301" i="3"/>
  <c r="T303" i="3"/>
  <c r="D303" i="3" l="1"/>
  <c r="G303" i="3" s="1"/>
  <c r="AG303" i="3"/>
  <c r="AH303" i="3"/>
  <c r="E303" i="3"/>
  <c r="H303" i="3" s="1"/>
  <c r="K303" i="3" l="1"/>
  <c r="AE303" i="3" s="1"/>
  <c r="I303" i="3"/>
  <c r="J303" i="3"/>
  <c r="M303" i="3"/>
  <c r="N303" i="3" s="1"/>
  <c r="F303" i="3"/>
  <c r="L303" i="3" l="1"/>
  <c r="V303" i="3"/>
  <c r="W303" i="3" s="1"/>
  <c r="A304" i="3"/>
  <c r="B304" i="3" s="1"/>
  <c r="AA304" i="3" l="1"/>
  <c r="Z304" i="3"/>
  <c r="AC304" i="3"/>
  <c r="P304" i="3"/>
  <c r="Q304" i="3" s="1"/>
  <c r="R304" i="3" s="1"/>
  <c r="S304" i="3" s="1"/>
  <c r="U303" i="3"/>
  <c r="Y302" i="3"/>
  <c r="T304" i="3" l="1"/>
  <c r="AH304" i="3" s="1"/>
  <c r="D304" i="3" l="1"/>
  <c r="G304" i="3" s="1"/>
  <c r="AG304" i="3"/>
  <c r="E304" i="3"/>
  <c r="H304" i="3" s="1"/>
  <c r="K304" i="3" s="1"/>
  <c r="AE304" i="3" s="1"/>
  <c r="F304" i="3" l="1"/>
  <c r="I304" i="3"/>
  <c r="J304" i="3"/>
  <c r="AD304" i="3" s="1"/>
  <c r="M304" i="3"/>
  <c r="N304" i="3" s="1"/>
  <c r="V304" i="3"/>
  <c r="A305" i="3"/>
  <c r="B305" i="3" s="1"/>
  <c r="W304" i="3" l="1"/>
  <c r="AA305" i="3"/>
  <c r="P305" i="3"/>
  <c r="Q305" i="3" s="1"/>
  <c r="R305" i="3" s="1"/>
  <c r="S305" i="3" s="1"/>
  <c r="Z305" i="3"/>
  <c r="AD305" i="3"/>
  <c r="AC305" i="3"/>
  <c r="L304" i="3"/>
  <c r="T305" i="3" l="1"/>
  <c r="AG305" i="3" s="1"/>
  <c r="U304" i="3"/>
  <c r="Y303" i="3"/>
  <c r="D305" i="3" l="1"/>
  <c r="G305" i="3" s="1"/>
  <c r="AH305" i="3"/>
  <c r="E305" i="3"/>
  <c r="H305" i="3" s="1"/>
  <c r="K305" i="3" l="1"/>
  <c r="AE305" i="3" s="1"/>
  <c r="I305" i="3"/>
  <c r="J305" i="3"/>
  <c r="M305" i="3"/>
  <c r="N305" i="3" s="1"/>
  <c r="F305" i="3"/>
  <c r="L305" i="3" l="1"/>
  <c r="V305" i="3"/>
  <c r="W305" i="3" s="1"/>
  <c r="A306" i="3"/>
  <c r="B306" i="3" s="1"/>
  <c r="P306" i="3" l="1"/>
  <c r="Q306" i="3" s="1"/>
  <c r="R306" i="3" s="1"/>
  <c r="S306" i="3" s="1"/>
  <c r="AD306" i="3"/>
  <c r="AA306" i="3"/>
  <c r="Z306" i="3"/>
  <c r="AC306" i="3"/>
  <c r="U305" i="3"/>
  <c r="Y304" i="3"/>
  <c r="T306" i="3" l="1"/>
  <c r="E306" i="3" s="1"/>
  <c r="H306" i="3" s="1"/>
  <c r="AG306" i="3" l="1"/>
  <c r="D306" i="3"/>
  <c r="F306" i="3" s="1"/>
  <c r="AH306" i="3"/>
  <c r="K306" i="3"/>
  <c r="AE306" i="3" s="1"/>
  <c r="G306" i="3" l="1"/>
  <c r="I306" i="3" s="1"/>
  <c r="V306" i="3"/>
  <c r="A307" i="3"/>
  <c r="B307" i="3" s="1"/>
  <c r="M306" i="3" l="1"/>
  <c r="N306" i="3" s="1"/>
  <c r="J306" i="3"/>
  <c r="L306" i="3" s="1"/>
  <c r="AC307" i="3"/>
  <c r="P307" i="3"/>
  <c r="Q307" i="3" s="1"/>
  <c r="R307" i="3" s="1"/>
  <c r="S307" i="3" s="1"/>
  <c r="AD307" i="3"/>
  <c r="AA307" i="3"/>
  <c r="Z307" i="3"/>
  <c r="W306" i="3"/>
  <c r="T307" i="3" l="1"/>
  <c r="AG307" i="3" s="1"/>
  <c r="U306" i="3"/>
  <c r="Y305" i="3"/>
  <c r="D307" i="3" l="1"/>
  <c r="G307" i="3" s="1"/>
  <c r="AH307" i="3"/>
  <c r="E307" i="3"/>
  <c r="H307" i="3" s="1"/>
  <c r="K307" i="3" s="1"/>
  <c r="AE307" i="3" s="1"/>
  <c r="F307" i="3" l="1"/>
  <c r="V307" i="3"/>
  <c r="A308" i="3"/>
  <c r="B308" i="3" s="1"/>
  <c r="I307" i="3"/>
  <c r="J307" i="3"/>
  <c r="M307" i="3"/>
  <c r="N307" i="3" s="1"/>
  <c r="L307" i="3" l="1"/>
  <c r="Z308" i="3"/>
  <c r="AD308" i="3"/>
  <c r="AA308" i="3"/>
  <c r="AC308" i="3"/>
  <c r="P308" i="3"/>
  <c r="Q308" i="3" s="1"/>
  <c r="R308" i="3" s="1"/>
  <c r="S308" i="3" s="1"/>
  <c r="W307" i="3"/>
  <c r="T308" i="3" l="1"/>
  <c r="AH308" i="3" s="1"/>
  <c r="U307" i="3"/>
  <c r="Y306" i="3"/>
  <c r="AG308" i="3" l="1"/>
  <c r="E308" i="3"/>
  <c r="H308" i="3" s="1"/>
  <c r="K308" i="3" s="1"/>
  <c r="AE308" i="3" s="1"/>
  <c r="D308" i="3"/>
  <c r="G308" i="3" s="1"/>
  <c r="F308" i="3" l="1"/>
  <c r="I308" i="3"/>
  <c r="J308" i="3"/>
  <c r="M308" i="3"/>
  <c r="N308" i="3" s="1"/>
  <c r="V308" i="3"/>
  <c r="A309" i="3"/>
  <c r="B309" i="3" s="1"/>
  <c r="W308" i="3" l="1"/>
  <c r="P309" i="3"/>
  <c r="Q309" i="3" s="1"/>
  <c r="R309" i="3" s="1"/>
  <c r="S309" i="3" s="1"/>
  <c r="Z309" i="3"/>
  <c r="AC309" i="3"/>
  <c r="AD309" i="3"/>
  <c r="AA309" i="3"/>
  <c r="L308" i="3"/>
  <c r="T309" i="3" l="1"/>
  <c r="AG309" i="3" s="1"/>
  <c r="U308" i="3"/>
  <c r="Y307" i="3"/>
  <c r="E309" i="3" l="1"/>
  <c r="H309" i="3" s="1"/>
  <c r="K309" i="3" s="1"/>
  <c r="AE309" i="3" s="1"/>
  <c r="AH309" i="3"/>
  <c r="D309" i="3"/>
  <c r="V309" i="3" l="1"/>
  <c r="A310" i="3"/>
  <c r="B310" i="3" s="1"/>
  <c r="F309" i="3"/>
  <c r="G309" i="3"/>
  <c r="I309" i="3" l="1"/>
  <c r="W309" i="3" s="1"/>
  <c r="J309" i="3"/>
  <c r="M309" i="3"/>
  <c r="N309" i="3" s="1"/>
  <c r="P310" i="3"/>
  <c r="Q310" i="3" s="1"/>
  <c r="R310" i="3" s="1"/>
  <c r="S310" i="3" s="1"/>
  <c r="AA310" i="3"/>
  <c r="Z310" i="3"/>
  <c r="AC310" i="3"/>
  <c r="AD310" i="3"/>
  <c r="L309" i="3" l="1"/>
  <c r="T310" i="3"/>
  <c r="AH310" i="3" l="1"/>
  <c r="U309" i="3"/>
  <c r="D310" i="3" s="1"/>
  <c r="AG310" i="3"/>
  <c r="Y308" i="3"/>
  <c r="E310" i="3" l="1"/>
  <c r="H310" i="3" s="1"/>
  <c r="K310" i="3" s="1"/>
  <c r="AE310" i="3" s="1"/>
  <c r="G310" i="3"/>
  <c r="F310" i="3" l="1"/>
  <c r="V310" i="3"/>
  <c r="A311" i="3"/>
  <c r="B311" i="3" s="1"/>
  <c r="I310" i="3"/>
  <c r="J310" i="3"/>
  <c r="M310" i="3"/>
  <c r="N310" i="3" s="1"/>
  <c r="L310" i="3" l="1"/>
  <c r="Z311" i="3"/>
  <c r="P311" i="3"/>
  <c r="Q311" i="3" s="1"/>
  <c r="R311" i="3" s="1"/>
  <c r="S311" i="3" s="1"/>
  <c r="AA311" i="3"/>
  <c r="AC311" i="3"/>
  <c r="AD311" i="3"/>
  <c r="W310" i="3"/>
  <c r="T311" i="3" l="1"/>
  <c r="AH311" i="3" s="1"/>
  <c r="U310" i="3"/>
  <c r="Y309" i="3"/>
  <c r="D311" i="3" l="1"/>
  <c r="G311" i="3" s="1"/>
  <c r="AG311" i="3"/>
  <c r="E311" i="3"/>
  <c r="H311" i="3" s="1"/>
  <c r="F311" i="3" l="1"/>
  <c r="I311" i="3"/>
  <c r="J311" i="3"/>
  <c r="M311" i="3"/>
  <c r="N311" i="3" s="1"/>
  <c r="K311" i="3"/>
  <c r="AE311" i="3" s="1"/>
  <c r="V311" i="3" l="1"/>
  <c r="W311" i="3" s="1"/>
  <c r="A312" i="3"/>
  <c r="B312" i="3" s="1"/>
  <c r="L311" i="3"/>
  <c r="U311" i="3" l="1"/>
  <c r="Y310" i="3"/>
  <c r="P312" i="3"/>
  <c r="Q312" i="3" s="1"/>
  <c r="R312" i="3" s="1"/>
  <c r="S312" i="3" s="1"/>
  <c r="AD312" i="3"/>
  <c r="AC312" i="3"/>
  <c r="AA312" i="3"/>
  <c r="Z312" i="3"/>
  <c r="T312" i="3" l="1"/>
  <c r="AG312" i="3" s="1"/>
  <c r="AH312" i="3" l="1"/>
  <c r="E312" i="3"/>
  <c r="H312" i="3" s="1"/>
  <c r="K312" i="3" s="1"/>
  <c r="AE312" i="3" s="1"/>
  <c r="D312" i="3"/>
  <c r="G312" i="3" s="1"/>
  <c r="F312" i="3" l="1"/>
  <c r="V312" i="3"/>
  <c r="A313" i="3"/>
  <c r="B313" i="3" s="1"/>
  <c r="I312" i="3"/>
  <c r="J312" i="3"/>
  <c r="M312" i="3"/>
  <c r="N312" i="3" s="1"/>
  <c r="L312" i="3" l="1"/>
  <c r="AD313" i="3"/>
  <c r="AA313" i="3"/>
  <c r="Z313" i="3"/>
  <c r="AC313" i="3"/>
  <c r="P313" i="3"/>
  <c r="Q313" i="3" s="1"/>
  <c r="R313" i="3" s="1"/>
  <c r="S313" i="3" s="1"/>
  <c r="W312" i="3"/>
  <c r="T313" i="3" l="1"/>
  <c r="AH313" i="3" s="1"/>
  <c r="U312" i="3"/>
  <c r="Y311" i="3"/>
  <c r="AG313" i="3" l="1"/>
  <c r="E313" i="3"/>
  <c r="H313" i="3" s="1"/>
  <c r="K313" i="3" s="1"/>
  <c r="AE313" i="3" s="1"/>
  <c r="D313" i="3"/>
  <c r="F313" i="3" l="1"/>
  <c r="G313" i="3"/>
  <c r="I313" i="3" s="1"/>
  <c r="V313" i="3"/>
  <c r="A314" i="3"/>
  <c r="B314" i="3" s="1"/>
  <c r="J313" i="3" l="1"/>
  <c r="L313" i="3" s="1"/>
  <c r="M313" i="3"/>
  <c r="N313" i="3" s="1"/>
  <c r="W313" i="3"/>
  <c r="AA314" i="3"/>
  <c r="P314" i="3"/>
  <c r="Q314" i="3" s="1"/>
  <c r="R314" i="3" s="1"/>
  <c r="S314" i="3" s="1"/>
  <c r="AC314" i="3"/>
  <c r="Z314" i="3"/>
  <c r="AD314" i="3"/>
  <c r="T314" i="3" l="1"/>
  <c r="AG314" i="3" s="1"/>
  <c r="U313" i="3"/>
  <c r="Y312" i="3"/>
  <c r="AH314" i="3" l="1"/>
  <c r="D314" i="3"/>
  <c r="G314" i="3" s="1"/>
  <c r="E314" i="3"/>
  <c r="H314" i="3" s="1"/>
  <c r="K314" i="3" s="1"/>
  <c r="AE314" i="3" s="1"/>
  <c r="F314" i="3" l="1"/>
  <c r="I314" i="3"/>
  <c r="J314" i="3"/>
  <c r="M314" i="3"/>
  <c r="N314" i="3" s="1"/>
  <c r="V314" i="3"/>
  <c r="A315" i="3"/>
  <c r="B315" i="3" s="1"/>
  <c r="W314" i="3" l="1"/>
  <c r="Z315" i="3"/>
  <c r="P315" i="3"/>
  <c r="Q315" i="3" s="1"/>
  <c r="R315" i="3" s="1"/>
  <c r="S315" i="3" s="1"/>
  <c r="AC315" i="3"/>
  <c r="AD315" i="3"/>
  <c r="AA315" i="3"/>
  <c r="L314" i="3"/>
  <c r="T315" i="3" l="1"/>
  <c r="AG315" i="3" s="1"/>
  <c r="U314" i="3"/>
  <c r="Y313" i="3"/>
  <c r="AH315" i="3" l="1"/>
  <c r="D315" i="3"/>
  <c r="G315" i="3" s="1"/>
  <c r="E315" i="3"/>
  <c r="H315" i="3" s="1"/>
  <c r="K315" i="3" s="1"/>
  <c r="AE315" i="3" s="1"/>
  <c r="F315" i="3" l="1"/>
  <c r="V315" i="3"/>
  <c r="A316" i="3"/>
  <c r="B316" i="3" s="1"/>
  <c r="I315" i="3"/>
  <c r="J315" i="3"/>
  <c r="M315" i="3"/>
  <c r="N315" i="3" s="1"/>
  <c r="L315" i="3" l="1"/>
  <c r="Z316" i="3"/>
  <c r="AC316" i="3"/>
  <c r="P316" i="3"/>
  <c r="Q316" i="3" s="1"/>
  <c r="R316" i="3" s="1"/>
  <c r="S316" i="3" s="1"/>
  <c r="AA316" i="3"/>
  <c r="AD316" i="3"/>
  <c r="W315" i="3"/>
  <c r="T316" i="3" l="1"/>
  <c r="AG316" i="3" s="1"/>
  <c r="U315" i="3"/>
  <c r="Y314" i="3"/>
  <c r="D316" i="3" l="1"/>
  <c r="G316" i="3" s="1"/>
  <c r="AH316" i="3"/>
  <c r="E316" i="3"/>
  <c r="H316" i="3" s="1"/>
  <c r="K316" i="3" s="1"/>
  <c r="AE316" i="3" s="1"/>
  <c r="F316" i="3" l="1"/>
  <c r="V316" i="3"/>
  <c r="A317" i="3"/>
  <c r="B317" i="3" s="1"/>
  <c r="I316" i="3"/>
  <c r="J316" i="3"/>
  <c r="M316" i="3"/>
  <c r="N316" i="3" s="1"/>
  <c r="AD317" i="3" l="1"/>
  <c r="AC317" i="3"/>
  <c r="AA317" i="3"/>
  <c r="P317" i="3"/>
  <c r="Q317" i="3" s="1"/>
  <c r="R317" i="3" s="1"/>
  <c r="S317" i="3" s="1"/>
  <c r="Z317" i="3"/>
  <c r="L316" i="3"/>
  <c r="W316" i="3"/>
  <c r="T317" i="3" l="1"/>
  <c r="AH317" i="3" s="1"/>
  <c r="U316" i="3"/>
  <c r="Y315" i="3"/>
  <c r="E317" i="3" l="1"/>
  <c r="H317" i="3" s="1"/>
  <c r="K317" i="3" s="1"/>
  <c r="AE317" i="3" s="1"/>
  <c r="AG317" i="3"/>
  <c r="D317" i="3"/>
  <c r="F317" i="3" l="1"/>
  <c r="G317" i="3"/>
  <c r="V317" i="3"/>
  <c r="A318" i="3"/>
  <c r="B318" i="3" s="1"/>
  <c r="AA318" i="3" l="1"/>
  <c r="P318" i="3"/>
  <c r="Q318" i="3" s="1"/>
  <c r="R318" i="3" s="1"/>
  <c r="S318" i="3" s="1"/>
  <c r="AD318" i="3"/>
  <c r="Z318" i="3"/>
  <c r="AC318" i="3"/>
  <c r="I317" i="3"/>
  <c r="W317" i="3" s="1"/>
  <c r="J317" i="3"/>
  <c r="M317" i="3"/>
  <c r="N317" i="3" s="1"/>
  <c r="T318" i="3" l="1"/>
  <c r="L317" i="3"/>
  <c r="AH318" i="3" l="1"/>
  <c r="U317" i="3"/>
  <c r="D318" i="3" s="1"/>
  <c r="AG318" i="3"/>
  <c r="Y316" i="3"/>
  <c r="E318" i="3" l="1"/>
  <c r="H318" i="3" s="1"/>
  <c r="K318" i="3" s="1"/>
  <c r="AE318" i="3" s="1"/>
  <c r="G318" i="3"/>
  <c r="F318" i="3" l="1"/>
  <c r="I318" i="3"/>
  <c r="J318" i="3"/>
  <c r="M318" i="3"/>
  <c r="N318" i="3" s="1"/>
  <c r="V318" i="3"/>
  <c r="A319" i="3"/>
  <c r="B319" i="3" s="1"/>
  <c r="W318" i="3" l="1"/>
  <c r="P319" i="3"/>
  <c r="Q319" i="3" s="1"/>
  <c r="R319" i="3" s="1"/>
  <c r="S319" i="3" s="1"/>
  <c r="Z319" i="3"/>
  <c r="AC319" i="3"/>
  <c r="AD319" i="3"/>
  <c r="AA319" i="3"/>
  <c r="L318" i="3"/>
  <c r="U318" i="3" l="1"/>
  <c r="Y317" i="3"/>
  <c r="T319" i="3"/>
  <c r="D319" i="3" l="1"/>
  <c r="G319" i="3" s="1"/>
  <c r="E319" i="3"/>
  <c r="H319" i="3" s="1"/>
  <c r="AG319" i="3"/>
  <c r="AH319" i="3"/>
  <c r="K319" i="3" l="1"/>
  <c r="AE319" i="3" s="1"/>
  <c r="I319" i="3"/>
  <c r="J319" i="3"/>
  <c r="M319" i="3"/>
  <c r="N319" i="3" s="1"/>
  <c r="F319" i="3"/>
  <c r="L319" i="3" l="1"/>
  <c r="V319" i="3"/>
  <c r="W319" i="3" s="1"/>
  <c r="A320" i="3"/>
  <c r="B320" i="3" s="1"/>
  <c r="AD320" i="3" l="1"/>
  <c r="AA320" i="3"/>
  <c r="AC320" i="3"/>
  <c r="Z320" i="3"/>
  <c r="P320" i="3"/>
  <c r="Q320" i="3" s="1"/>
  <c r="R320" i="3" s="1"/>
  <c r="S320" i="3" s="1"/>
  <c r="U319" i="3"/>
  <c r="Y318" i="3"/>
  <c r="T320" i="3" l="1"/>
  <c r="AG320" i="3" s="1"/>
  <c r="AH320" i="3" l="1"/>
  <c r="D320" i="3"/>
  <c r="E320" i="3"/>
  <c r="H320" i="3" s="1"/>
  <c r="K320" i="3" s="1"/>
  <c r="AE320" i="3" s="1"/>
  <c r="F320" i="3" l="1"/>
  <c r="G320" i="3"/>
  <c r="I320" i="3" s="1"/>
  <c r="V320" i="3"/>
  <c r="A321" i="3"/>
  <c r="B321" i="3" s="1"/>
  <c r="J320" i="3" l="1"/>
  <c r="L320" i="3" s="1"/>
  <c r="M320" i="3"/>
  <c r="N320" i="3" s="1"/>
  <c r="W320" i="3"/>
  <c r="AA321" i="3"/>
  <c r="Z321" i="3"/>
  <c r="P321" i="3"/>
  <c r="Q321" i="3" s="1"/>
  <c r="R321" i="3" s="1"/>
  <c r="S321" i="3" s="1"/>
  <c r="AC321" i="3"/>
  <c r="AD321" i="3"/>
  <c r="T321" i="3" l="1"/>
  <c r="AH321" i="3" s="1"/>
  <c r="U320" i="3"/>
  <c r="Y319" i="3"/>
  <c r="E321" i="3" l="1"/>
  <c r="H321" i="3" s="1"/>
  <c r="K321" i="3" s="1"/>
  <c r="AE321" i="3" s="1"/>
  <c r="AG321" i="3"/>
  <c r="D321" i="3"/>
  <c r="F321" i="3" l="1"/>
  <c r="G321" i="3"/>
  <c r="V321" i="3"/>
  <c r="A322" i="3"/>
  <c r="B322" i="3" s="1"/>
  <c r="AC322" i="3" l="1"/>
  <c r="AD322" i="3"/>
  <c r="AA322" i="3"/>
  <c r="Z322" i="3"/>
  <c r="P322" i="3"/>
  <c r="Q322" i="3" s="1"/>
  <c r="R322" i="3" s="1"/>
  <c r="S322" i="3" s="1"/>
  <c r="I321" i="3"/>
  <c r="W321" i="3" s="1"/>
  <c r="J321" i="3"/>
  <c r="M321" i="3"/>
  <c r="N321" i="3" s="1"/>
  <c r="L321" i="3" l="1"/>
  <c r="T322" i="3"/>
  <c r="AG322" i="3" l="1"/>
  <c r="U321" i="3"/>
  <c r="D322" i="3" s="1"/>
  <c r="AH322" i="3"/>
  <c r="Y320" i="3"/>
  <c r="E322" i="3" l="1"/>
  <c r="H322" i="3" s="1"/>
  <c r="K322" i="3" s="1"/>
  <c r="AE322" i="3" s="1"/>
  <c r="G322" i="3"/>
  <c r="F322" i="3" l="1"/>
  <c r="V322" i="3"/>
  <c r="A323" i="3"/>
  <c r="B323" i="3" s="1"/>
  <c r="I322" i="3"/>
  <c r="J322" i="3"/>
  <c r="M322" i="3"/>
  <c r="N322" i="3" s="1"/>
  <c r="AD323" i="3" l="1"/>
  <c r="AC323" i="3"/>
  <c r="P323" i="3"/>
  <c r="Q323" i="3" s="1"/>
  <c r="R323" i="3" s="1"/>
  <c r="S323" i="3" s="1"/>
  <c r="Z323" i="3"/>
  <c r="AA323" i="3"/>
  <c r="L322" i="3"/>
  <c r="W322" i="3"/>
  <c r="T323" i="3" l="1"/>
  <c r="AG323" i="3" s="1"/>
  <c r="U322" i="3"/>
  <c r="Y321" i="3"/>
  <c r="E323" i="3" l="1"/>
  <c r="H323" i="3" s="1"/>
  <c r="K323" i="3" s="1"/>
  <c r="AE323" i="3" s="1"/>
  <c r="AH323" i="3"/>
  <c r="D323" i="3"/>
  <c r="F323" i="3" l="1"/>
  <c r="G323" i="3"/>
  <c r="I323" i="3" s="1"/>
  <c r="V323" i="3"/>
  <c r="A324" i="3"/>
  <c r="B324" i="3" s="1"/>
  <c r="M323" i="3" l="1"/>
  <c r="N323" i="3" s="1"/>
  <c r="J323" i="3"/>
  <c r="L323" i="3" s="1"/>
  <c r="W323" i="3"/>
  <c r="Z324" i="3"/>
  <c r="P324" i="3"/>
  <c r="Q324" i="3" s="1"/>
  <c r="R324" i="3" s="1"/>
  <c r="S324" i="3" s="1"/>
  <c r="AC324" i="3"/>
  <c r="AA324" i="3"/>
  <c r="AD324" i="3"/>
  <c r="U323" i="3" l="1"/>
  <c r="Y322" i="3"/>
  <c r="T324" i="3"/>
  <c r="E324" i="3" l="1"/>
  <c r="H324" i="3" s="1"/>
  <c r="K324" i="3" s="1"/>
  <c r="AE324" i="3" s="1"/>
  <c r="AG324" i="3"/>
  <c r="AH324" i="3"/>
  <c r="D324" i="3"/>
  <c r="F324" i="3" l="1"/>
  <c r="G324" i="3"/>
  <c r="I324" i="3" s="1"/>
  <c r="V324" i="3"/>
  <c r="A325" i="3"/>
  <c r="B325" i="3" s="1"/>
  <c r="M324" i="3" l="1"/>
  <c r="N324" i="3" s="1"/>
  <c r="J324" i="3"/>
  <c r="L324" i="3" s="1"/>
  <c r="W324" i="3"/>
  <c r="AC325" i="3"/>
  <c r="AD325" i="3"/>
  <c r="Z325" i="3"/>
  <c r="P325" i="3"/>
  <c r="Q325" i="3" s="1"/>
  <c r="R325" i="3" s="1"/>
  <c r="S325" i="3" s="1"/>
  <c r="AA325" i="3"/>
  <c r="T325" i="3" l="1"/>
  <c r="AG325" i="3" s="1"/>
  <c r="U324" i="3"/>
  <c r="Y323" i="3"/>
  <c r="AH325" i="3" l="1"/>
  <c r="D325" i="3"/>
  <c r="G325" i="3" s="1"/>
  <c r="E325" i="3"/>
  <c r="H325" i="3" s="1"/>
  <c r="K325" i="3" s="1"/>
  <c r="AE325" i="3" s="1"/>
  <c r="F325" i="3" l="1"/>
  <c r="V325" i="3"/>
  <c r="A326" i="3"/>
  <c r="B326" i="3" s="1"/>
  <c r="I325" i="3"/>
  <c r="J325" i="3"/>
  <c r="M325" i="3"/>
  <c r="N325" i="3" s="1"/>
  <c r="P326" i="3" l="1"/>
  <c r="Q326" i="3" s="1"/>
  <c r="R326" i="3" s="1"/>
  <c r="S326" i="3" s="1"/>
  <c r="AD326" i="3"/>
  <c r="Z326" i="3"/>
  <c r="AA326" i="3"/>
  <c r="AC326" i="3"/>
  <c r="L325" i="3"/>
  <c r="W325" i="3"/>
  <c r="T326" i="3" l="1"/>
  <c r="AH326" i="3" s="1"/>
  <c r="U325" i="3"/>
  <c r="Y324" i="3"/>
  <c r="AG326" i="3" l="1"/>
  <c r="E326" i="3"/>
  <c r="H326" i="3" s="1"/>
  <c r="K326" i="3" s="1"/>
  <c r="AE326" i="3" s="1"/>
  <c r="D326" i="3"/>
  <c r="F326" i="3" l="1"/>
  <c r="G326" i="3"/>
  <c r="I326" i="3" s="1"/>
  <c r="V326" i="3"/>
  <c r="A327" i="3"/>
  <c r="B327" i="3" s="1"/>
  <c r="M326" i="3" l="1"/>
  <c r="N326" i="3" s="1"/>
  <c r="J326" i="3"/>
  <c r="L326" i="3" s="1"/>
  <c r="W326" i="3"/>
  <c r="P327" i="3"/>
  <c r="Q327" i="3" s="1"/>
  <c r="R327" i="3" s="1"/>
  <c r="S327" i="3" s="1"/>
  <c r="AD327" i="3"/>
  <c r="Z327" i="3"/>
  <c r="AA327" i="3"/>
  <c r="AC327" i="3"/>
  <c r="T327" i="3" l="1"/>
  <c r="AH327" i="3" s="1"/>
  <c r="U326" i="3"/>
  <c r="Y325" i="3"/>
  <c r="E327" i="3" l="1"/>
  <c r="H327" i="3" s="1"/>
  <c r="K327" i="3" s="1"/>
  <c r="AE327" i="3" s="1"/>
  <c r="AG327" i="3"/>
  <c r="D327" i="3"/>
  <c r="F327" i="3" l="1"/>
  <c r="G327" i="3"/>
  <c r="V327" i="3"/>
  <c r="A328" i="3"/>
  <c r="B328" i="3" s="1"/>
  <c r="AA328" i="3" l="1"/>
  <c r="AD328" i="3"/>
  <c r="P328" i="3"/>
  <c r="Q328" i="3" s="1"/>
  <c r="R328" i="3" s="1"/>
  <c r="S328" i="3" s="1"/>
  <c r="AC328" i="3"/>
  <c r="Z328" i="3"/>
  <c r="I327" i="3"/>
  <c r="W327" i="3" s="1"/>
  <c r="J327" i="3"/>
  <c r="M327" i="3"/>
  <c r="N327" i="3" s="1"/>
  <c r="L327" i="3" l="1"/>
  <c r="T328" i="3"/>
  <c r="AG328" i="3" l="1"/>
  <c r="AH328" i="3"/>
  <c r="U327" i="3"/>
  <c r="D328" i="3" s="1"/>
  <c r="Y326" i="3"/>
  <c r="E328" i="3" l="1"/>
  <c r="H328" i="3" s="1"/>
  <c r="K328" i="3" s="1"/>
  <c r="AE328" i="3" s="1"/>
  <c r="G328" i="3"/>
  <c r="F328" i="3" l="1"/>
  <c r="V328" i="3"/>
  <c r="A329" i="3"/>
  <c r="B329" i="3" s="1"/>
  <c r="I328" i="3"/>
  <c r="J328" i="3"/>
  <c r="M328" i="3"/>
  <c r="N328" i="3" s="1"/>
  <c r="Z329" i="3" l="1"/>
  <c r="AA329" i="3"/>
  <c r="AD329" i="3"/>
  <c r="P329" i="3"/>
  <c r="Q329" i="3" s="1"/>
  <c r="R329" i="3" s="1"/>
  <c r="S329" i="3" s="1"/>
  <c r="AC329" i="3"/>
  <c r="L328" i="3"/>
  <c r="W328" i="3"/>
  <c r="T329" i="3" l="1"/>
  <c r="AH329" i="3" s="1"/>
  <c r="U328" i="3"/>
  <c r="Y327" i="3"/>
  <c r="D329" i="3" l="1"/>
  <c r="G329" i="3" s="1"/>
  <c r="AG329" i="3"/>
  <c r="E329" i="3"/>
  <c r="H329" i="3" s="1"/>
  <c r="K329" i="3" s="1"/>
  <c r="AE329" i="3" s="1"/>
  <c r="F329" i="3" l="1"/>
  <c r="V329" i="3"/>
  <c r="A330" i="3"/>
  <c r="B330" i="3" s="1"/>
  <c r="I329" i="3"/>
  <c r="J329" i="3"/>
  <c r="M329" i="3"/>
  <c r="N329" i="3" s="1"/>
  <c r="L329" i="3" l="1"/>
  <c r="P330" i="3"/>
  <c r="Q330" i="3" s="1"/>
  <c r="R330" i="3" s="1"/>
  <c r="S330" i="3" s="1"/>
  <c r="AC330" i="3"/>
  <c r="AD330" i="3"/>
  <c r="Z330" i="3"/>
  <c r="AA330" i="3"/>
  <c r="W329" i="3"/>
  <c r="T330" i="3" l="1"/>
  <c r="AG330" i="3" s="1"/>
  <c r="U329" i="3"/>
  <c r="Y328" i="3"/>
  <c r="D330" i="3" l="1"/>
  <c r="G330" i="3" s="1"/>
  <c r="AH330" i="3"/>
  <c r="E330" i="3"/>
  <c r="H330" i="3" s="1"/>
  <c r="K330" i="3" l="1"/>
  <c r="AE330" i="3" s="1"/>
  <c r="I330" i="3"/>
  <c r="J330" i="3"/>
  <c r="M330" i="3"/>
  <c r="N330" i="3" s="1"/>
  <c r="F330" i="3"/>
  <c r="L330" i="3" l="1"/>
  <c r="V330" i="3"/>
  <c r="W330" i="3" s="1"/>
  <c r="A331" i="3"/>
  <c r="B331" i="3" s="1"/>
  <c r="Z331" i="3" l="1"/>
  <c r="P331" i="3"/>
  <c r="Q331" i="3" s="1"/>
  <c r="R331" i="3" s="1"/>
  <c r="S331" i="3" s="1"/>
  <c r="AC331" i="3"/>
  <c r="AA331" i="3"/>
  <c r="AD331" i="3"/>
  <c r="U330" i="3"/>
  <c r="Y329" i="3"/>
  <c r="T331" i="3" l="1"/>
  <c r="E331" i="3" s="1"/>
  <c r="H331" i="3" s="1"/>
  <c r="AH331" i="3" l="1"/>
  <c r="AG331" i="3"/>
  <c r="D331" i="3"/>
  <c r="F331" i="3" s="1"/>
  <c r="K331" i="3"/>
  <c r="AE331" i="3" s="1"/>
  <c r="G331" i="3" l="1"/>
  <c r="I331" i="3" s="1"/>
  <c r="V331" i="3"/>
  <c r="A332" i="3"/>
  <c r="B332" i="3" s="1"/>
  <c r="M331" i="3" l="1"/>
  <c r="N331" i="3" s="1"/>
  <c r="J331" i="3"/>
  <c r="L331" i="3" s="1"/>
  <c r="AC332" i="3"/>
  <c r="AA332" i="3"/>
  <c r="P332" i="3"/>
  <c r="Q332" i="3" s="1"/>
  <c r="R332" i="3" s="1"/>
  <c r="S332" i="3" s="1"/>
  <c r="Z332" i="3"/>
  <c r="AD332" i="3"/>
  <c r="W331" i="3"/>
  <c r="T332" i="3" l="1"/>
  <c r="AH332" i="3" s="1"/>
  <c r="U331" i="3"/>
  <c r="Y330" i="3"/>
  <c r="E332" i="3" l="1"/>
  <c r="H332" i="3" s="1"/>
  <c r="K332" i="3" s="1"/>
  <c r="AE332" i="3" s="1"/>
  <c r="AG332" i="3"/>
  <c r="D332" i="3"/>
  <c r="V332" i="3" l="1"/>
  <c r="A333" i="3"/>
  <c r="B333" i="3" s="1"/>
  <c r="F332" i="3"/>
  <c r="G332" i="3"/>
  <c r="I332" i="3" l="1"/>
  <c r="W332" i="3" s="1"/>
  <c r="J332" i="3"/>
  <c r="M332" i="3"/>
  <c r="N332" i="3" s="1"/>
  <c r="AD333" i="3"/>
  <c r="P333" i="3"/>
  <c r="Q333" i="3" s="1"/>
  <c r="R333" i="3" s="1"/>
  <c r="S333" i="3" s="1"/>
  <c r="AC333" i="3"/>
  <c r="AA333" i="3"/>
  <c r="Z333" i="3"/>
  <c r="T333" i="3" l="1"/>
  <c r="L332" i="3"/>
  <c r="AG333" i="3" l="1"/>
  <c r="U332" i="3"/>
  <c r="E333" i="3" s="1"/>
  <c r="H333" i="3" s="1"/>
  <c r="AH333" i="3"/>
  <c r="Y331" i="3"/>
  <c r="D333" i="3" l="1"/>
  <c r="F333" i="3" s="1"/>
  <c r="K333" i="3"/>
  <c r="AE333" i="3" s="1"/>
  <c r="G333" i="3" l="1"/>
  <c r="I333" i="3" s="1"/>
  <c r="V333" i="3"/>
  <c r="A334" i="3"/>
  <c r="B334" i="3" s="1"/>
  <c r="M333" i="3" l="1"/>
  <c r="N333" i="3" s="1"/>
  <c r="J333" i="3"/>
  <c r="L333" i="3" s="1"/>
  <c r="W333" i="3"/>
  <c r="AD334" i="3"/>
  <c r="Z334" i="3"/>
  <c r="P334" i="3"/>
  <c r="Q334" i="3" s="1"/>
  <c r="R334" i="3" s="1"/>
  <c r="S334" i="3" s="1"/>
  <c r="AC334" i="3"/>
  <c r="AA334" i="3"/>
  <c r="T334" i="3" l="1"/>
  <c r="AH334" i="3" s="1"/>
  <c r="U333" i="3"/>
  <c r="Y332" i="3"/>
  <c r="AG334" i="3" l="1"/>
  <c r="E334" i="3"/>
  <c r="H334" i="3" s="1"/>
  <c r="K334" i="3" s="1"/>
  <c r="AE334" i="3" s="1"/>
  <c r="D334" i="3"/>
  <c r="F334" i="3" l="1"/>
  <c r="G334" i="3"/>
  <c r="I334" i="3" s="1"/>
  <c r="V334" i="3"/>
  <c r="A335" i="3"/>
  <c r="B335" i="3" s="1"/>
  <c r="J334" i="3" l="1"/>
  <c r="L334" i="3" s="1"/>
  <c r="M334" i="3"/>
  <c r="N334" i="3" s="1"/>
  <c r="W334" i="3"/>
  <c r="AD335" i="3"/>
  <c r="Z335" i="3"/>
  <c r="AA335" i="3"/>
  <c r="AC335" i="3"/>
  <c r="P335" i="3"/>
  <c r="Q335" i="3" s="1"/>
  <c r="R335" i="3" s="1"/>
  <c r="S335" i="3" s="1"/>
  <c r="U334" i="3" l="1"/>
  <c r="Y333" i="3"/>
  <c r="T335" i="3"/>
  <c r="AG335" i="3" s="1"/>
  <c r="E335" i="3" l="1"/>
  <c r="H335" i="3" s="1"/>
  <c r="D335" i="3"/>
  <c r="AH335" i="3"/>
  <c r="F335" i="3" l="1"/>
  <c r="G335" i="3"/>
  <c r="K335" i="3"/>
  <c r="AE335" i="3" s="1"/>
  <c r="V335" i="3" l="1"/>
  <c r="A336" i="3"/>
  <c r="B336" i="3" s="1"/>
  <c r="I335" i="3"/>
  <c r="J335" i="3"/>
  <c r="M335" i="3"/>
  <c r="N335" i="3" s="1"/>
  <c r="L335" i="3" l="1"/>
  <c r="Z336" i="3"/>
  <c r="AC336" i="3"/>
  <c r="AA336" i="3"/>
  <c r="P336" i="3"/>
  <c r="Q336" i="3" s="1"/>
  <c r="R336" i="3" s="1"/>
  <c r="S336" i="3" s="1"/>
  <c r="AD336" i="3"/>
  <c r="W335" i="3"/>
  <c r="T336" i="3" l="1"/>
  <c r="AH336" i="3" s="1"/>
  <c r="U335" i="3"/>
  <c r="Y334" i="3"/>
  <c r="E336" i="3" l="1"/>
  <c r="H336" i="3" s="1"/>
  <c r="K336" i="3" s="1"/>
  <c r="AE336" i="3" s="1"/>
  <c r="AG336" i="3"/>
  <c r="D336" i="3"/>
  <c r="G336" i="3" s="1"/>
  <c r="F336" i="3" l="1"/>
  <c r="I336" i="3"/>
  <c r="J336" i="3"/>
  <c r="M336" i="3"/>
  <c r="N336" i="3" s="1"/>
  <c r="V336" i="3"/>
  <c r="A337" i="3"/>
  <c r="B337" i="3" s="1"/>
  <c r="W336" i="3" l="1"/>
  <c r="Z337" i="3"/>
  <c r="P337" i="3"/>
  <c r="Q337" i="3" s="1"/>
  <c r="R337" i="3" s="1"/>
  <c r="S337" i="3" s="1"/>
  <c r="AD337" i="3"/>
  <c r="AC337" i="3"/>
  <c r="AA337" i="3"/>
  <c r="L336" i="3"/>
  <c r="U336" i="3" l="1"/>
  <c r="Y335" i="3"/>
  <c r="T337" i="3"/>
  <c r="D337" i="3" l="1"/>
  <c r="G337" i="3" s="1"/>
  <c r="E337" i="3"/>
  <c r="H337" i="3" s="1"/>
  <c r="AG337" i="3"/>
  <c r="AH337" i="3"/>
  <c r="K337" i="3" l="1"/>
  <c r="AE337" i="3" s="1"/>
  <c r="I337" i="3"/>
  <c r="J337" i="3"/>
  <c r="M337" i="3"/>
  <c r="N337" i="3" s="1"/>
  <c r="F337" i="3"/>
  <c r="L337" i="3" l="1"/>
  <c r="V337" i="3"/>
  <c r="W337" i="3" s="1"/>
  <c r="A338" i="3"/>
  <c r="B338" i="3" s="1"/>
  <c r="Z338" i="3" l="1"/>
  <c r="P338" i="3"/>
  <c r="Q338" i="3" s="1"/>
  <c r="R338" i="3" s="1"/>
  <c r="S338" i="3" s="1"/>
  <c r="AD338" i="3"/>
  <c r="AA338" i="3"/>
  <c r="AC338" i="3"/>
  <c r="U337" i="3"/>
  <c r="Y336" i="3"/>
  <c r="T338" i="3" l="1"/>
  <c r="E338" i="3" s="1"/>
  <c r="H338" i="3" s="1"/>
  <c r="D338" i="3" l="1"/>
  <c r="F338" i="3" s="1"/>
  <c r="AG338" i="3"/>
  <c r="AH338" i="3"/>
  <c r="K338" i="3"/>
  <c r="AE338" i="3" s="1"/>
  <c r="G338" i="3" l="1"/>
  <c r="I338" i="3" s="1"/>
  <c r="V338" i="3"/>
  <c r="A339" i="3"/>
  <c r="B339" i="3" s="1"/>
  <c r="M338" i="3" l="1"/>
  <c r="N338" i="3" s="1"/>
  <c r="J338" i="3"/>
  <c r="L338" i="3" s="1"/>
  <c r="W338" i="3"/>
  <c r="Z339" i="3"/>
  <c r="AD339" i="3"/>
  <c r="P339" i="3"/>
  <c r="Q339" i="3" s="1"/>
  <c r="R339" i="3" s="1"/>
  <c r="S339" i="3" s="1"/>
  <c r="AA339" i="3"/>
  <c r="AC339" i="3"/>
  <c r="T339" i="3" l="1"/>
  <c r="AG339" i="3" s="1"/>
  <c r="U338" i="3"/>
  <c r="Y337" i="3"/>
  <c r="D339" i="3" l="1"/>
  <c r="G339" i="3" s="1"/>
  <c r="AH339" i="3"/>
  <c r="E339" i="3"/>
  <c r="H339" i="3" s="1"/>
  <c r="K339" i="3" s="1"/>
  <c r="AE339" i="3" s="1"/>
  <c r="F339" i="3" l="1"/>
  <c r="I339" i="3"/>
  <c r="J339" i="3"/>
  <c r="M339" i="3"/>
  <c r="N339" i="3" s="1"/>
  <c r="V339" i="3"/>
  <c r="A340" i="3"/>
  <c r="B340" i="3" s="1"/>
  <c r="W339" i="3" l="1"/>
  <c r="AA340" i="3"/>
  <c r="AD340" i="3"/>
  <c r="Z340" i="3"/>
  <c r="P340" i="3"/>
  <c r="Q340" i="3" s="1"/>
  <c r="R340" i="3" s="1"/>
  <c r="S340" i="3" s="1"/>
  <c r="AC340" i="3"/>
  <c r="L339" i="3"/>
  <c r="T340" i="3" l="1"/>
  <c r="AG340" i="3" s="1"/>
  <c r="U339" i="3"/>
  <c r="Y338" i="3"/>
  <c r="AH340" i="3" l="1"/>
  <c r="E340" i="3"/>
  <c r="H340" i="3" s="1"/>
  <c r="K340" i="3" s="1"/>
  <c r="AE340" i="3" s="1"/>
  <c r="D340" i="3"/>
  <c r="F340" i="3" l="1"/>
  <c r="G340" i="3"/>
  <c r="I340" i="3" s="1"/>
  <c r="V340" i="3"/>
  <c r="A341" i="3"/>
  <c r="B341" i="3" s="1"/>
  <c r="M340" i="3" l="1"/>
  <c r="N340" i="3" s="1"/>
  <c r="J340" i="3"/>
  <c r="L340" i="3" s="1"/>
  <c r="AA341" i="3"/>
  <c r="AC341" i="3"/>
  <c r="AD341" i="3"/>
  <c r="Z341" i="3"/>
  <c r="P341" i="3"/>
  <c r="Q341" i="3" s="1"/>
  <c r="R341" i="3" s="1"/>
  <c r="S341" i="3" s="1"/>
  <c r="W340" i="3"/>
  <c r="U340" i="3" l="1"/>
  <c r="Y339" i="3"/>
  <c r="T341" i="3"/>
  <c r="D341" i="3" l="1"/>
  <c r="G341" i="3" s="1"/>
  <c r="E341" i="3"/>
  <c r="H341" i="3" s="1"/>
  <c r="K341" i="3" s="1"/>
  <c r="AE341" i="3" s="1"/>
  <c r="AH341" i="3"/>
  <c r="AG341" i="3"/>
  <c r="F341" i="3" l="1"/>
  <c r="V341" i="3"/>
  <c r="A342" i="3"/>
  <c r="B342" i="3" s="1"/>
  <c r="I341" i="3"/>
  <c r="J341" i="3"/>
  <c r="M341" i="3"/>
  <c r="N341" i="3" s="1"/>
  <c r="L341" i="3" l="1"/>
  <c r="P342" i="3"/>
  <c r="Q342" i="3" s="1"/>
  <c r="R342" i="3" s="1"/>
  <c r="S342" i="3" s="1"/>
  <c r="AA342" i="3"/>
  <c r="AD342" i="3"/>
  <c r="AC342" i="3"/>
  <c r="Z342" i="3"/>
  <c r="W341" i="3"/>
  <c r="T342" i="3" l="1"/>
  <c r="AG342" i="3" s="1"/>
  <c r="U341" i="3"/>
  <c r="Y340" i="3"/>
  <c r="D342" i="3" l="1"/>
  <c r="G342" i="3" s="1"/>
  <c r="AH342" i="3"/>
  <c r="E342" i="3"/>
  <c r="H342" i="3" s="1"/>
  <c r="K342" i="3" s="1"/>
  <c r="AE342" i="3" s="1"/>
  <c r="F342" i="3" l="1"/>
  <c r="V342" i="3"/>
  <c r="A343" i="3"/>
  <c r="B343" i="3" s="1"/>
  <c r="I342" i="3"/>
  <c r="J342" i="3"/>
  <c r="M342" i="3"/>
  <c r="N342" i="3" s="1"/>
  <c r="AD343" i="3" l="1"/>
  <c r="P343" i="3"/>
  <c r="Q343" i="3" s="1"/>
  <c r="R343" i="3" s="1"/>
  <c r="S343" i="3" s="1"/>
  <c r="AA343" i="3"/>
  <c r="Z343" i="3"/>
  <c r="AC343" i="3"/>
  <c r="L342" i="3"/>
  <c r="W342" i="3"/>
  <c r="T343" i="3" l="1"/>
  <c r="AG343" i="3" s="1"/>
  <c r="U342" i="3"/>
  <c r="Y341" i="3"/>
  <c r="D343" i="3" l="1"/>
  <c r="G343" i="3" s="1"/>
  <c r="AH343" i="3"/>
  <c r="E343" i="3"/>
  <c r="H343" i="3" s="1"/>
  <c r="K343" i="3" s="1"/>
  <c r="AE343" i="3" s="1"/>
  <c r="F343" i="3" l="1"/>
  <c r="V343" i="3"/>
  <c r="A344" i="3"/>
  <c r="B344" i="3" s="1"/>
  <c r="I343" i="3"/>
  <c r="J343" i="3"/>
  <c r="M343" i="3"/>
  <c r="N343" i="3" s="1"/>
  <c r="W343" i="3" l="1"/>
  <c r="L343" i="3"/>
  <c r="P344" i="3"/>
  <c r="Q344" i="3" s="1"/>
  <c r="R344" i="3" s="1"/>
  <c r="S344" i="3" s="1"/>
  <c r="AC344" i="3"/>
  <c r="AA344" i="3"/>
  <c r="Z344" i="3"/>
  <c r="AD344" i="3"/>
  <c r="T344" i="3" l="1"/>
  <c r="AH344" i="3" s="1"/>
  <c r="U343" i="3"/>
  <c r="Y342" i="3"/>
  <c r="D344" i="3" l="1"/>
  <c r="G344" i="3" s="1"/>
  <c r="E344" i="3"/>
  <c r="H344" i="3" s="1"/>
  <c r="K344" i="3" s="1"/>
  <c r="AE344" i="3" s="1"/>
  <c r="AG344" i="3"/>
  <c r="F344" i="3" l="1"/>
  <c r="I344" i="3"/>
  <c r="J344" i="3"/>
  <c r="M344" i="3"/>
  <c r="N344" i="3" s="1"/>
  <c r="V344" i="3"/>
  <c r="A345" i="3"/>
  <c r="B345" i="3" s="1"/>
  <c r="W344" i="3" l="1"/>
  <c r="P345" i="3"/>
  <c r="Q345" i="3" s="1"/>
  <c r="R345" i="3" s="1"/>
  <c r="S345" i="3" s="1"/>
  <c r="AC345" i="3"/>
  <c r="AD345" i="3"/>
  <c r="Z345" i="3"/>
  <c r="AA345" i="3"/>
  <c r="L344" i="3"/>
  <c r="U344" i="3" l="1"/>
  <c r="Y343" i="3"/>
  <c r="T345" i="3"/>
  <c r="AG345" i="3" s="1"/>
  <c r="E345" i="3" l="1"/>
  <c r="H345" i="3" s="1"/>
  <c r="K345" i="3" s="1"/>
  <c r="AE345" i="3" s="1"/>
  <c r="D345" i="3"/>
  <c r="G345" i="3" s="1"/>
  <c r="AH345" i="3"/>
  <c r="F345" i="3" l="1"/>
  <c r="I345" i="3"/>
  <c r="J345" i="3"/>
  <c r="M345" i="3"/>
  <c r="N345" i="3" s="1"/>
  <c r="V345" i="3"/>
  <c r="A346" i="3"/>
  <c r="B346" i="3" s="1"/>
  <c r="W345" i="3" l="1"/>
  <c r="Z346" i="3"/>
  <c r="AD346" i="3"/>
  <c r="AA346" i="3"/>
  <c r="AC346" i="3"/>
  <c r="P346" i="3"/>
  <c r="Q346" i="3" s="1"/>
  <c r="R346" i="3" s="1"/>
  <c r="S346" i="3" s="1"/>
  <c r="L345" i="3"/>
  <c r="T346" i="3" l="1"/>
  <c r="AG346" i="3" s="1"/>
  <c r="U345" i="3"/>
  <c r="Y344" i="3"/>
  <c r="E346" i="3" l="1"/>
  <c r="H346" i="3" s="1"/>
  <c r="K346" i="3" s="1"/>
  <c r="AE346" i="3" s="1"/>
  <c r="AH346" i="3"/>
  <c r="D346" i="3"/>
  <c r="G346" i="3" s="1"/>
  <c r="F346" i="3" l="1"/>
  <c r="I346" i="3"/>
  <c r="J346" i="3"/>
  <c r="M346" i="3"/>
  <c r="N346" i="3" s="1"/>
  <c r="V346" i="3"/>
  <c r="A347" i="3"/>
  <c r="B347" i="3" s="1"/>
  <c r="W346" i="3" l="1"/>
  <c r="AD347" i="3"/>
  <c r="P347" i="3"/>
  <c r="Q347" i="3" s="1"/>
  <c r="R347" i="3" s="1"/>
  <c r="S347" i="3" s="1"/>
  <c r="Z347" i="3"/>
  <c r="AC347" i="3"/>
  <c r="AA347" i="3"/>
  <c r="L346" i="3"/>
  <c r="T347" i="3" l="1"/>
  <c r="AH347" i="3" s="1"/>
  <c r="U346" i="3"/>
  <c r="Y345" i="3"/>
  <c r="D347" i="3" l="1"/>
  <c r="E347" i="3"/>
  <c r="H347" i="3" s="1"/>
  <c r="AG347" i="3"/>
  <c r="K347" i="3" l="1"/>
  <c r="AE347" i="3" s="1"/>
  <c r="F347" i="3"/>
  <c r="G347" i="3"/>
  <c r="I347" i="3" l="1"/>
  <c r="J347" i="3"/>
  <c r="M347" i="3"/>
  <c r="N347" i="3" s="1"/>
  <c r="V347" i="3"/>
  <c r="A348" i="3"/>
  <c r="B348" i="3" s="1"/>
  <c r="W347" i="3" l="1"/>
  <c r="AD348" i="3"/>
  <c r="Z348" i="3"/>
  <c r="AC348" i="3"/>
  <c r="AA348" i="3"/>
  <c r="P348" i="3"/>
  <c r="Q348" i="3" s="1"/>
  <c r="R348" i="3" s="1"/>
  <c r="S348" i="3" s="1"/>
  <c r="L347" i="3"/>
  <c r="T348" i="3" l="1"/>
  <c r="AG348" i="3" s="1"/>
  <c r="U347" i="3"/>
  <c r="Y346" i="3"/>
  <c r="D348" i="3" l="1"/>
  <c r="G348" i="3" s="1"/>
  <c r="E348" i="3"/>
  <c r="H348" i="3" s="1"/>
  <c r="K348" i="3" s="1"/>
  <c r="AE348" i="3" s="1"/>
  <c r="AH348" i="3"/>
  <c r="F348" i="3" l="1"/>
  <c r="I348" i="3"/>
  <c r="J348" i="3"/>
  <c r="M348" i="3"/>
  <c r="N348" i="3" s="1"/>
  <c r="V348" i="3"/>
  <c r="A349" i="3"/>
  <c r="B349" i="3" s="1"/>
  <c r="W348" i="3" l="1"/>
  <c r="AA349" i="3"/>
  <c r="P349" i="3"/>
  <c r="Q349" i="3" s="1"/>
  <c r="R349" i="3" s="1"/>
  <c r="S349" i="3" s="1"/>
  <c r="AC349" i="3"/>
  <c r="Z349" i="3"/>
  <c r="AD349" i="3"/>
  <c r="L348" i="3"/>
  <c r="U348" i="3" l="1"/>
  <c r="Y347" i="3"/>
  <c r="T349" i="3"/>
  <c r="AG349" i="3" s="1"/>
  <c r="D349" i="3" l="1"/>
  <c r="AH349" i="3"/>
  <c r="E349" i="3"/>
  <c r="H349" i="3" s="1"/>
  <c r="K349" i="3" l="1"/>
  <c r="AE349" i="3" s="1"/>
  <c r="F349" i="3"/>
  <c r="G349" i="3"/>
  <c r="I349" i="3" l="1"/>
  <c r="J349" i="3"/>
  <c r="M349" i="3"/>
  <c r="N349" i="3" s="1"/>
  <c r="V349" i="3"/>
  <c r="A350" i="3"/>
  <c r="B350" i="3" s="1"/>
  <c r="W349" i="3" l="1"/>
  <c r="P350" i="3"/>
  <c r="Q350" i="3" s="1"/>
  <c r="R350" i="3" s="1"/>
  <c r="S350" i="3" s="1"/>
  <c r="AD350" i="3"/>
  <c r="AA350" i="3"/>
  <c r="AC350" i="3"/>
  <c r="Z350" i="3"/>
  <c r="L349" i="3"/>
  <c r="U349" i="3" l="1"/>
  <c r="Y348" i="3"/>
  <c r="T350" i="3"/>
  <c r="AG350" i="3" s="1"/>
  <c r="E350" i="3" l="1"/>
  <c r="H350" i="3" s="1"/>
  <c r="K350" i="3" s="1"/>
  <c r="AE350" i="3" s="1"/>
  <c r="D350" i="3"/>
  <c r="AH350" i="3"/>
  <c r="F350" i="3" l="1"/>
  <c r="G350" i="3"/>
  <c r="V350" i="3"/>
  <c r="A351" i="3"/>
  <c r="B351" i="3" s="1"/>
  <c r="P351" i="3" l="1"/>
  <c r="Q351" i="3" s="1"/>
  <c r="R351" i="3" s="1"/>
  <c r="S351" i="3" s="1"/>
  <c r="Z351" i="3"/>
  <c r="AC351" i="3"/>
  <c r="AD351" i="3"/>
  <c r="AA351" i="3"/>
  <c r="I350" i="3"/>
  <c r="W350" i="3" s="1"/>
  <c r="J350" i="3"/>
  <c r="M350" i="3"/>
  <c r="N350" i="3" s="1"/>
  <c r="L350" i="3" l="1"/>
  <c r="T351" i="3"/>
  <c r="AH351" i="3" l="1"/>
  <c r="U350" i="3"/>
  <c r="D351" i="3" s="1"/>
  <c r="AG351" i="3"/>
  <c r="Y349" i="3"/>
  <c r="E351" i="3" l="1"/>
  <c r="H351" i="3" s="1"/>
  <c r="K351" i="3" s="1"/>
  <c r="AE351" i="3" s="1"/>
  <c r="G351" i="3"/>
  <c r="F351" i="3" l="1"/>
  <c r="V351" i="3"/>
  <c r="A352" i="3"/>
  <c r="B352" i="3" s="1"/>
  <c r="I351" i="3"/>
  <c r="J351" i="3"/>
  <c r="M351" i="3"/>
  <c r="N351" i="3" s="1"/>
  <c r="L351" i="3" l="1"/>
  <c r="AA352" i="3"/>
  <c r="Z352" i="3"/>
  <c r="P352" i="3"/>
  <c r="Q352" i="3" s="1"/>
  <c r="R352" i="3" s="1"/>
  <c r="S352" i="3" s="1"/>
  <c r="AC352" i="3"/>
  <c r="AD352" i="3"/>
  <c r="W351" i="3"/>
  <c r="T352" i="3" l="1"/>
  <c r="AH352" i="3" s="1"/>
  <c r="U351" i="3"/>
  <c r="Y350" i="3"/>
  <c r="E352" i="3" l="1"/>
  <c r="H352" i="3" s="1"/>
  <c r="K352" i="3" s="1"/>
  <c r="AE352" i="3" s="1"/>
  <c r="AG352" i="3"/>
  <c r="D352" i="3"/>
  <c r="F352" i="3" l="1"/>
  <c r="G352" i="3"/>
  <c r="I352" i="3" s="1"/>
  <c r="V352" i="3"/>
  <c r="A353" i="3"/>
  <c r="B353" i="3" s="1"/>
  <c r="M352" i="3" l="1"/>
  <c r="N352" i="3" s="1"/>
  <c r="J352" i="3"/>
  <c r="L352" i="3" s="1"/>
  <c r="AD353" i="3"/>
  <c r="P353" i="3"/>
  <c r="Q353" i="3" s="1"/>
  <c r="R353" i="3" s="1"/>
  <c r="S353" i="3" s="1"/>
  <c r="Z353" i="3"/>
  <c r="AC353" i="3"/>
  <c r="AA353" i="3"/>
  <c r="W352" i="3"/>
  <c r="T353" i="3" l="1"/>
  <c r="AG353" i="3" s="1"/>
  <c r="U352" i="3"/>
  <c r="Y351" i="3"/>
  <c r="D353" i="3" l="1"/>
  <c r="G353" i="3" s="1"/>
  <c r="AH353" i="3"/>
  <c r="E353" i="3"/>
  <c r="H353" i="3" s="1"/>
  <c r="K353" i="3" s="1"/>
  <c r="AE353" i="3" s="1"/>
  <c r="F353" i="3" l="1"/>
  <c r="V353" i="3"/>
  <c r="A354" i="3"/>
  <c r="B354" i="3" s="1"/>
  <c r="I353" i="3"/>
  <c r="J353" i="3"/>
  <c r="M353" i="3"/>
  <c r="N353" i="3" s="1"/>
  <c r="L353" i="3" l="1"/>
  <c r="Z354" i="3"/>
  <c r="AD354" i="3"/>
  <c r="AC354" i="3"/>
  <c r="AA354" i="3"/>
  <c r="P354" i="3"/>
  <c r="Q354" i="3" s="1"/>
  <c r="R354" i="3" s="1"/>
  <c r="S354" i="3" s="1"/>
  <c r="W353" i="3"/>
  <c r="U353" i="3" l="1"/>
  <c r="Y352" i="3"/>
  <c r="T354" i="3"/>
  <c r="D354" i="3" l="1"/>
  <c r="G354" i="3" s="1"/>
  <c r="AH354" i="3"/>
  <c r="AG354" i="3"/>
  <c r="E354" i="3"/>
  <c r="H354" i="3" s="1"/>
  <c r="K354" i="3" l="1"/>
  <c r="AE354" i="3" s="1"/>
  <c r="I354" i="3"/>
  <c r="J354" i="3"/>
  <c r="M354" i="3"/>
  <c r="N354" i="3" s="1"/>
  <c r="F354" i="3"/>
  <c r="L354" i="3" l="1"/>
  <c r="V354" i="3"/>
  <c r="W354" i="3" s="1"/>
  <c r="A355" i="3"/>
  <c r="B355" i="3" s="1"/>
  <c r="AD355" i="3" l="1"/>
  <c r="AA355" i="3"/>
  <c r="P355" i="3"/>
  <c r="Q355" i="3" s="1"/>
  <c r="R355" i="3" s="1"/>
  <c r="S355" i="3" s="1"/>
  <c r="AC355" i="3"/>
  <c r="Z355" i="3"/>
  <c r="U354" i="3"/>
  <c r="Y353" i="3"/>
  <c r="T355" i="3" l="1"/>
  <c r="E355" i="3" s="1"/>
  <c r="H355" i="3" s="1"/>
  <c r="AG355" i="3" l="1"/>
  <c r="AH355" i="3"/>
  <c r="D355" i="3"/>
  <c r="F355" i="3" s="1"/>
  <c r="K355" i="3"/>
  <c r="AE355" i="3" s="1"/>
  <c r="G355" i="3" l="1"/>
  <c r="M355" i="3" s="1"/>
  <c r="N355" i="3" s="1"/>
  <c r="V355" i="3"/>
  <c r="A356" i="3"/>
  <c r="B356" i="3" s="1"/>
  <c r="J355" i="3" l="1"/>
  <c r="L355" i="3" s="1"/>
  <c r="I355" i="3"/>
  <c r="W355" i="3" s="1"/>
  <c r="AC356" i="3"/>
  <c r="P356" i="3"/>
  <c r="Q356" i="3" s="1"/>
  <c r="R356" i="3" s="1"/>
  <c r="S356" i="3" s="1"/>
  <c r="AA356" i="3"/>
  <c r="AD356" i="3"/>
  <c r="Z356" i="3"/>
  <c r="T356" i="3" l="1"/>
  <c r="AH356" i="3" s="1"/>
  <c r="U355" i="3"/>
  <c r="Y354" i="3"/>
  <c r="AG356" i="3" l="1"/>
  <c r="E356" i="3"/>
  <c r="H356" i="3" s="1"/>
  <c r="K356" i="3" s="1"/>
  <c r="AE356" i="3" s="1"/>
  <c r="D356" i="3"/>
  <c r="F356" i="3" l="1"/>
  <c r="G356" i="3"/>
  <c r="I356" i="3" s="1"/>
  <c r="V356" i="3"/>
  <c r="A357" i="3"/>
  <c r="B357" i="3" s="1"/>
  <c r="M356" i="3" l="1"/>
  <c r="N356" i="3" s="1"/>
  <c r="J356" i="3"/>
  <c r="L356" i="3" s="1"/>
  <c r="AC357" i="3"/>
  <c r="AA357" i="3"/>
  <c r="P357" i="3"/>
  <c r="Q357" i="3" s="1"/>
  <c r="R357" i="3" s="1"/>
  <c r="S357" i="3" s="1"/>
  <c r="AD357" i="3"/>
  <c r="Z357" i="3"/>
  <c r="W356" i="3"/>
  <c r="T357" i="3" l="1"/>
  <c r="AG357" i="3" s="1"/>
  <c r="U356" i="3"/>
  <c r="Y355" i="3"/>
  <c r="AH357" i="3" l="1"/>
  <c r="D357" i="3"/>
  <c r="G357" i="3" s="1"/>
  <c r="E357" i="3"/>
  <c r="H357" i="3" s="1"/>
  <c r="K357" i="3" s="1"/>
  <c r="AE357" i="3" s="1"/>
  <c r="F357" i="3" l="1"/>
  <c r="V357" i="3"/>
  <c r="A358" i="3"/>
  <c r="B358" i="3" s="1"/>
  <c r="I357" i="3"/>
  <c r="J357" i="3"/>
  <c r="M357" i="3"/>
  <c r="N357" i="3" s="1"/>
  <c r="L357" i="3" l="1"/>
  <c r="W357" i="3"/>
  <c r="AC358" i="3"/>
  <c r="Z358" i="3"/>
  <c r="AA358" i="3"/>
  <c r="AD358" i="3"/>
  <c r="P358" i="3"/>
  <c r="Q358" i="3" s="1"/>
  <c r="R358" i="3" s="1"/>
  <c r="S358" i="3" s="1"/>
  <c r="T358" i="3" l="1"/>
  <c r="AG358" i="3" s="1"/>
  <c r="U357" i="3"/>
  <c r="Y356" i="3"/>
  <c r="D358" i="3" l="1"/>
  <c r="G358" i="3" s="1"/>
  <c r="AH358" i="3"/>
  <c r="E358" i="3"/>
  <c r="H358" i="3" s="1"/>
  <c r="K358" i="3" l="1"/>
  <c r="AE358" i="3" s="1"/>
  <c r="I358" i="3"/>
  <c r="J358" i="3"/>
  <c r="M358" i="3"/>
  <c r="N358" i="3" s="1"/>
  <c r="F358" i="3"/>
  <c r="L358" i="3" l="1"/>
  <c r="V358" i="3"/>
  <c r="W358" i="3" s="1"/>
  <c r="A359" i="3"/>
  <c r="B359" i="3" s="1"/>
  <c r="AC359" i="3" l="1"/>
  <c r="AA359" i="3"/>
  <c r="Z359" i="3"/>
  <c r="AD359" i="3"/>
  <c r="P359" i="3"/>
  <c r="Q359" i="3" s="1"/>
  <c r="R359" i="3" s="1"/>
  <c r="S359" i="3" s="1"/>
  <c r="U358" i="3"/>
  <c r="Y357" i="3"/>
  <c r="T359" i="3" l="1"/>
  <c r="D359" i="3" s="1"/>
  <c r="E359" i="3" l="1"/>
  <c r="H359" i="3" s="1"/>
  <c r="K359" i="3" s="1"/>
  <c r="AE359" i="3" s="1"/>
  <c r="AG359" i="3"/>
  <c r="AH359" i="3"/>
  <c r="G359" i="3"/>
  <c r="F359" i="3" l="1"/>
  <c r="I359" i="3"/>
  <c r="J359" i="3"/>
  <c r="M359" i="3"/>
  <c r="N359" i="3" s="1"/>
  <c r="V359" i="3"/>
  <c r="A360" i="3"/>
  <c r="B360" i="3" s="1"/>
  <c r="W359" i="3" l="1"/>
  <c r="Z360" i="3"/>
  <c r="P360" i="3"/>
  <c r="Q360" i="3" s="1"/>
  <c r="R360" i="3" s="1"/>
  <c r="S360" i="3" s="1"/>
  <c r="AC360" i="3"/>
  <c r="AA360" i="3"/>
  <c r="AD360" i="3"/>
  <c r="L359" i="3"/>
  <c r="T360" i="3" l="1"/>
  <c r="AH360" i="3" s="1"/>
  <c r="U359" i="3"/>
  <c r="Y358" i="3"/>
  <c r="D360" i="3" l="1"/>
  <c r="G360" i="3" s="1"/>
  <c r="AG360" i="3"/>
  <c r="E360" i="3"/>
  <c r="H360" i="3" s="1"/>
  <c r="K360" i="3" l="1"/>
  <c r="AE360" i="3" s="1"/>
  <c r="I360" i="3"/>
  <c r="J360" i="3"/>
  <c r="M360" i="3"/>
  <c r="N360" i="3" s="1"/>
  <c r="F360" i="3"/>
  <c r="L360" i="3" l="1"/>
  <c r="V360" i="3"/>
  <c r="W360" i="3" s="1"/>
  <c r="A361" i="3"/>
  <c r="B361" i="3" s="1"/>
  <c r="Z361" i="3" l="1"/>
  <c r="AC361" i="3"/>
  <c r="AD361" i="3"/>
  <c r="P361" i="3"/>
  <c r="Q361" i="3" s="1"/>
  <c r="R361" i="3" s="1"/>
  <c r="S361" i="3" s="1"/>
  <c r="AA361" i="3"/>
  <c r="U360" i="3"/>
  <c r="Y359" i="3"/>
  <c r="T361" i="3" l="1"/>
  <c r="AH361" i="3" s="1"/>
  <c r="AG361" i="3" l="1"/>
  <c r="D361" i="3"/>
  <c r="E361" i="3"/>
  <c r="H361" i="3" s="1"/>
  <c r="K361" i="3" l="1"/>
  <c r="AE361" i="3" s="1"/>
  <c r="F361" i="3"/>
  <c r="G361" i="3"/>
  <c r="I361" i="3" l="1"/>
  <c r="J361" i="3"/>
  <c r="M361" i="3"/>
  <c r="N361" i="3" s="1"/>
  <c r="V361" i="3"/>
  <c r="A362" i="3"/>
  <c r="B362" i="3" s="1"/>
  <c r="W361" i="3" l="1"/>
  <c r="Z362" i="3"/>
  <c r="AD362" i="3"/>
  <c r="AC362" i="3"/>
  <c r="AA362" i="3"/>
  <c r="P362" i="3"/>
  <c r="Q362" i="3" s="1"/>
  <c r="R362" i="3" s="1"/>
  <c r="S362" i="3" s="1"/>
  <c r="L361" i="3"/>
  <c r="T362" i="3" l="1"/>
  <c r="AG362" i="3" s="1"/>
  <c r="U361" i="3"/>
  <c r="Y360" i="3"/>
  <c r="E362" i="3" l="1"/>
  <c r="H362" i="3" s="1"/>
  <c r="K362" i="3" s="1"/>
  <c r="AE362" i="3" s="1"/>
  <c r="AH362" i="3"/>
  <c r="D362" i="3"/>
  <c r="F362" i="3" l="1"/>
  <c r="G362" i="3"/>
  <c r="I362" i="3" s="1"/>
  <c r="V362" i="3"/>
  <c r="A363" i="3"/>
  <c r="B363" i="3" s="1"/>
  <c r="M362" i="3" l="1"/>
  <c r="N362" i="3" s="1"/>
  <c r="J362" i="3"/>
  <c r="L362" i="3" s="1"/>
  <c r="W362" i="3"/>
  <c r="AC363" i="3"/>
  <c r="Z363" i="3"/>
  <c r="P363" i="3"/>
  <c r="Q363" i="3" s="1"/>
  <c r="R363" i="3" s="1"/>
  <c r="S363" i="3" s="1"/>
  <c r="AA363" i="3"/>
  <c r="AD363" i="3"/>
  <c r="U362" i="3" l="1"/>
  <c r="Y361" i="3"/>
  <c r="T363" i="3"/>
  <c r="D363" i="3" l="1"/>
  <c r="G363" i="3" s="1"/>
  <c r="E363" i="3"/>
  <c r="H363" i="3" s="1"/>
  <c r="AH363" i="3"/>
  <c r="AG363" i="3"/>
  <c r="I363" i="3" l="1"/>
  <c r="J363" i="3"/>
  <c r="M363" i="3"/>
  <c r="N363" i="3" s="1"/>
  <c r="K363" i="3"/>
  <c r="AE363" i="3" s="1"/>
  <c r="F363" i="3"/>
  <c r="V363" i="3" l="1"/>
  <c r="W363" i="3" s="1"/>
  <c r="A364" i="3"/>
  <c r="B364" i="3" s="1"/>
  <c r="L363" i="3"/>
  <c r="U363" i="3" l="1"/>
  <c r="Y362" i="3"/>
  <c r="AC364" i="3"/>
  <c r="Z364" i="3"/>
  <c r="AD364" i="3"/>
  <c r="AA364" i="3"/>
  <c r="P364" i="3"/>
  <c r="Q364" i="3" s="1"/>
  <c r="R364" i="3" s="1"/>
  <c r="S364" i="3" s="1"/>
  <c r="T364" i="3" l="1"/>
  <c r="AG364" i="3" s="1"/>
  <c r="D364" i="3" l="1"/>
  <c r="G364" i="3" s="1"/>
  <c r="AH364" i="3"/>
  <c r="E364" i="3"/>
  <c r="H364" i="3" s="1"/>
  <c r="K364" i="3" s="1"/>
  <c r="AE364" i="3" s="1"/>
  <c r="F364" i="3" l="1"/>
  <c r="V364" i="3"/>
  <c r="A365" i="3"/>
  <c r="B365" i="3" s="1"/>
  <c r="I364" i="3"/>
  <c r="J364" i="3"/>
  <c r="M364" i="3"/>
  <c r="N364" i="3" s="1"/>
  <c r="L364" i="3" l="1"/>
  <c r="AD365" i="3"/>
  <c r="AA365" i="3"/>
  <c r="Z365" i="3"/>
  <c r="AC365" i="3"/>
  <c r="P365" i="3"/>
  <c r="Q365" i="3" s="1"/>
  <c r="R365" i="3" s="1"/>
  <c r="S365" i="3" s="1"/>
  <c r="W364" i="3"/>
  <c r="T365" i="3" l="1"/>
  <c r="AH365" i="3" s="1"/>
  <c r="U364" i="3"/>
  <c r="Y363" i="3"/>
  <c r="E365" i="3" l="1"/>
  <c r="H365" i="3" s="1"/>
  <c r="K365" i="3" s="1"/>
  <c r="AE365" i="3" s="1"/>
  <c r="AG365" i="3"/>
  <c r="D365" i="3"/>
  <c r="F365" i="3" l="1"/>
  <c r="G365" i="3"/>
  <c r="I365" i="3" s="1"/>
  <c r="V365" i="3"/>
  <c r="A366" i="3"/>
  <c r="B366" i="3" s="1"/>
  <c r="M365" i="3" l="1"/>
  <c r="N365" i="3" s="1"/>
  <c r="W365" i="3"/>
  <c r="J365" i="3"/>
  <c r="L365" i="3" s="1"/>
  <c r="AA366" i="3"/>
  <c r="AD366" i="3"/>
  <c r="P366" i="3"/>
  <c r="Q366" i="3" s="1"/>
  <c r="R366" i="3" s="1"/>
  <c r="S366" i="3" s="1"/>
  <c r="AC366" i="3"/>
  <c r="Z366" i="3"/>
  <c r="T366" i="3" l="1"/>
  <c r="AH366" i="3" s="1"/>
  <c r="U365" i="3"/>
  <c r="Y364" i="3"/>
  <c r="D366" i="3" l="1"/>
  <c r="G366" i="3" s="1"/>
  <c r="AG366" i="3"/>
  <c r="E366" i="3"/>
  <c r="H366" i="3" s="1"/>
  <c r="K366" i="3" s="1"/>
  <c r="AE366" i="3" s="1"/>
  <c r="F366" i="3" l="1"/>
  <c r="V366" i="3"/>
  <c r="A367" i="3"/>
  <c r="B367" i="3" s="1"/>
  <c r="I366" i="3"/>
  <c r="J366" i="3"/>
  <c r="M366" i="3"/>
  <c r="N366" i="3" s="1"/>
  <c r="Z367" i="3" l="1"/>
  <c r="P367" i="3"/>
  <c r="Q367" i="3" s="1"/>
  <c r="R367" i="3" s="1"/>
  <c r="S367" i="3" s="1"/>
  <c r="AA367" i="3"/>
  <c r="AD367" i="3"/>
  <c r="AC367" i="3"/>
  <c r="L366" i="3"/>
  <c r="W366" i="3"/>
  <c r="T367" i="3" l="1"/>
  <c r="AH367" i="3" s="1"/>
  <c r="U366" i="3"/>
  <c r="Y365" i="3"/>
  <c r="D367" i="3" l="1"/>
  <c r="G367" i="3" s="1"/>
  <c r="AG367" i="3"/>
  <c r="E367" i="3"/>
  <c r="H367" i="3" s="1"/>
  <c r="K367" i="3" s="1"/>
  <c r="AE367" i="3" s="1"/>
  <c r="F367" i="3" l="1"/>
  <c r="I367" i="3"/>
  <c r="J367" i="3"/>
  <c r="M367" i="3"/>
  <c r="N367" i="3" s="1"/>
  <c r="V367" i="3"/>
  <c r="A368" i="3"/>
  <c r="B368" i="3" s="1"/>
  <c r="W367" i="3" l="1"/>
  <c r="AD368" i="3"/>
  <c r="AA368" i="3"/>
  <c r="AC368" i="3"/>
  <c r="Z368" i="3"/>
  <c r="P368" i="3"/>
  <c r="Q368" i="3" s="1"/>
  <c r="R368" i="3" s="1"/>
  <c r="S368" i="3" s="1"/>
  <c r="L367" i="3"/>
  <c r="T368" i="3" l="1"/>
  <c r="AH368" i="3" s="1"/>
  <c r="U367" i="3"/>
  <c r="Y366" i="3"/>
  <c r="D368" i="3" l="1"/>
  <c r="G368" i="3" s="1"/>
  <c r="AG368" i="3"/>
  <c r="E368" i="3"/>
  <c r="H368" i="3" s="1"/>
  <c r="K368" i="3" l="1"/>
  <c r="AE368" i="3" s="1"/>
  <c r="I368" i="3"/>
  <c r="J368" i="3"/>
  <c r="M368" i="3"/>
  <c r="N368" i="3" s="1"/>
  <c r="F368" i="3"/>
  <c r="L368" i="3" l="1"/>
  <c r="V368" i="3"/>
  <c r="W368" i="3" s="1"/>
  <c r="A369" i="3"/>
  <c r="B369" i="3" s="1"/>
  <c r="Z369" i="3" l="1"/>
  <c r="AD369" i="3"/>
  <c r="P369" i="3"/>
  <c r="Q369" i="3" s="1"/>
  <c r="R369" i="3" s="1"/>
  <c r="S369" i="3" s="1"/>
  <c r="AC369" i="3"/>
  <c r="AA369" i="3"/>
  <c r="U368" i="3"/>
  <c r="Y367" i="3"/>
  <c r="T369" i="3" l="1"/>
  <c r="AG369" i="3" s="1"/>
  <c r="E369" i="3" l="1"/>
  <c r="H369" i="3" s="1"/>
  <c r="K369" i="3" s="1"/>
  <c r="AE369" i="3" s="1"/>
  <c r="AH369" i="3"/>
  <c r="D369" i="3"/>
  <c r="F369" i="3" l="1"/>
  <c r="G369" i="3"/>
  <c r="V369" i="3"/>
  <c r="A370" i="3"/>
  <c r="B370" i="3" s="1"/>
  <c r="AA370" i="3" l="1"/>
  <c r="Z370" i="3"/>
  <c r="P370" i="3"/>
  <c r="Q370" i="3" s="1"/>
  <c r="R370" i="3" s="1"/>
  <c r="S370" i="3" s="1"/>
  <c r="AD370" i="3"/>
  <c r="AC370" i="3"/>
  <c r="I369" i="3"/>
  <c r="W369" i="3" s="1"/>
  <c r="J369" i="3"/>
  <c r="M369" i="3"/>
  <c r="N369" i="3" s="1"/>
  <c r="L369" i="3" l="1"/>
  <c r="T370" i="3"/>
  <c r="U369" i="3" l="1"/>
  <c r="E370" i="3" s="1"/>
  <c r="H370" i="3" s="1"/>
  <c r="AG370" i="3"/>
  <c r="AH370" i="3"/>
  <c r="Y368" i="3"/>
  <c r="D370" i="3" l="1"/>
  <c r="F370" i="3" s="1"/>
  <c r="K370" i="3"/>
  <c r="AE370" i="3" s="1"/>
  <c r="G370" i="3" l="1"/>
  <c r="I370" i="3" s="1"/>
  <c r="V370" i="3"/>
  <c r="A371" i="3"/>
  <c r="B371" i="3" s="1"/>
  <c r="J370" i="3" l="1"/>
  <c r="L370" i="3" s="1"/>
  <c r="M370" i="3"/>
  <c r="N370" i="3" s="1"/>
  <c r="Z371" i="3"/>
  <c r="P371" i="3"/>
  <c r="Q371" i="3" s="1"/>
  <c r="R371" i="3" s="1"/>
  <c r="S371" i="3" s="1"/>
  <c r="AD371" i="3"/>
  <c r="AC371" i="3"/>
  <c r="AA371" i="3"/>
  <c r="W370" i="3"/>
  <c r="T371" i="3" l="1"/>
  <c r="AG371" i="3" s="1"/>
  <c r="U370" i="3"/>
  <c r="Y369" i="3"/>
  <c r="D371" i="3" l="1"/>
  <c r="G371" i="3" s="1"/>
  <c r="AH371" i="3"/>
  <c r="E371" i="3"/>
  <c r="H371" i="3" s="1"/>
  <c r="K371" i="3" l="1"/>
  <c r="AE371" i="3" s="1"/>
  <c r="I371" i="3"/>
  <c r="J371" i="3"/>
  <c r="M371" i="3"/>
  <c r="N371" i="3" s="1"/>
  <c r="F371" i="3"/>
  <c r="L371" i="3" l="1"/>
  <c r="V371" i="3"/>
  <c r="W371" i="3" s="1"/>
  <c r="A372" i="3"/>
  <c r="B372" i="3" s="1"/>
  <c r="AD372" i="3" l="1"/>
  <c r="P372" i="3"/>
  <c r="Q372" i="3" s="1"/>
  <c r="R372" i="3" s="1"/>
  <c r="S372" i="3" s="1"/>
  <c r="Z372" i="3"/>
  <c r="AA372" i="3"/>
  <c r="AC372" i="3"/>
  <c r="U371" i="3"/>
  <c r="Y370" i="3"/>
  <c r="T372" i="3" l="1"/>
  <c r="AH372" i="3" s="1"/>
  <c r="D372" i="3" l="1"/>
  <c r="G372" i="3" s="1"/>
  <c r="E372" i="3"/>
  <c r="H372" i="3" s="1"/>
  <c r="K372" i="3" s="1"/>
  <c r="AE372" i="3" s="1"/>
  <c r="AG372" i="3"/>
  <c r="F372" i="3" l="1"/>
  <c r="V372" i="3"/>
  <c r="A373" i="3"/>
  <c r="B373" i="3" s="1"/>
  <c r="I372" i="3"/>
  <c r="J372" i="3"/>
  <c r="M372" i="3"/>
  <c r="N372" i="3" s="1"/>
  <c r="L372" i="3" l="1"/>
  <c r="P373" i="3"/>
  <c r="Q373" i="3" s="1"/>
  <c r="R373" i="3" s="1"/>
  <c r="S373" i="3" s="1"/>
  <c r="AD373" i="3"/>
  <c r="AA373" i="3"/>
  <c r="Z373" i="3"/>
  <c r="AC373" i="3"/>
  <c r="W372" i="3"/>
  <c r="T373" i="3" l="1"/>
  <c r="AH373" i="3" s="1"/>
  <c r="U372" i="3"/>
  <c r="Y371" i="3"/>
  <c r="D373" i="3" l="1"/>
  <c r="G373" i="3" s="1"/>
  <c r="E373" i="3"/>
  <c r="H373" i="3" s="1"/>
  <c r="K373" i="3" s="1"/>
  <c r="AE373" i="3" s="1"/>
  <c r="AG373" i="3"/>
  <c r="F373" i="3" l="1"/>
  <c r="I373" i="3"/>
  <c r="J373" i="3"/>
  <c r="M373" i="3"/>
  <c r="N373" i="3" s="1"/>
  <c r="V373" i="3"/>
  <c r="A374" i="3"/>
  <c r="B374" i="3" s="1"/>
  <c r="W373" i="3" l="1"/>
  <c r="AC374" i="3"/>
  <c r="AA374" i="3"/>
  <c r="AD374" i="3"/>
  <c r="Z374" i="3"/>
  <c r="P374" i="3"/>
  <c r="Q374" i="3" s="1"/>
  <c r="R374" i="3" s="1"/>
  <c r="S374" i="3" s="1"/>
  <c r="L373" i="3"/>
  <c r="T374" i="3" l="1"/>
  <c r="AG374" i="3" s="1"/>
  <c r="U373" i="3"/>
  <c r="Y372" i="3"/>
  <c r="E374" i="3" l="1"/>
  <c r="H374" i="3" s="1"/>
  <c r="K374" i="3" s="1"/>
  <c r="AE374" i="3" s="1"/>
  <c r="AH374" i="3"/>
  <c r="D374" i="3"/>
  <c r="F374" i="3" l="1"/>
  <c r="G374" i="3"/>
  <c r="I374" i="3" s="1"/>
  <c r="V374" i="3"/>
  <c r="A375" i="3"/>
  <c r="B375" i="3" s="1"/>
  <c r="M374" i="3" l="1"/>
  <c r="N374" i="3" s="1"/>
  <c r="J374" i="3"/>
  <c r="L374" i="3" s="1"/>
  <c r="AD375" i="3"/>
  <c r="P375" i="3"/>
  <c r="Q375" i="3" s="1"/>
  <c r="R375" i="3" s="1"/>
  <c r="S375" i="3" s="1"/>
  <c r="AC375" i="3"/>
  <c r="Z375" i="3"/>
  <c r="AA375" i="3"/>
  <c r="W374" i="3"/>
  <c r="T375" i="3" l="1"/>
  <c r="AG375" i="3" s="1"/>
  <c r="U374" i="3"/>
  <c r="Y373" i="3"/>
  <c r="AH375" i="3" l="1"/>
  <c r="E375" i="3"/>
  <c r="H375" i="3" s="1"/>
  <c r="K375" i="3" s="1"/>
  <c r="AE375" i="3" s="1"/>
  <c r="D375" i="3"/>
  <c r="F375" i="3" l="1"/>
  <c r="G375" i="3"/>
  <c r="J375" i="3" s="1"/>
  <c r="V375" i="3"/>
  <c r="A376" i="3"/>
  <c r="B376" i="3" s="1"/>
  <c r="M375" i="3" l="1"/>
  <c r="N375" i="3" s="1"/>
  <c r="I375" i="3"/>
  <c r="W375" i="3" s="1"/>
  <c r="Z376" i="3"/>
  <c r="AD376" i="3"/>
  <c r="P376" i="3"/>
  <c r="Q376" i="3" s="1"/>
  <c r="R376" i="3" s="1"/>
  <c r="S376" i="3" s="1"/>
  <c r="AC376" i="3"/>
  <c r="AA376" i="3"/>
  <c r="L375" i="3"/>
  <c r="U375" i="3" l="1"/>
  <c r="Y374" i="3"/>
  <c r="T376" i="3"/>
  <c r="D376" i="3" l="1"/>
  <c r="G376" i="3" s="1"/>
  <c r="E376" i="3"/>
  <c r="H376" i="3" s="1"/>
  <c r="K376" i="3" s="1"/>
  <c r="AE376" i="3" s="1"/>
  <c r="AH376" i="3"/>
  <c r="AG376" i="3"/>
  <c r="F376" i="3" l="1"/>
  <c r="I376" i="3"/>
  <c r="J376" i="3"/>
  <c r="M376" i="3"/>
  <c r="N376" i="3" s="1"/>
  <c r="V376" i="3"/>
  <c r="A377" i="3"/>
  <c r="B377" i="3" s="1"/>
  <c r="W376" i="3" l="1"/>
  <c r="AD377" i="3"/>
  <c r="AC377" i="3"/>
  <c r="Z377" i="3"/>
  <c r="AA377" i="3"/>
  <c r="P377" i="3"/>
  <c r="Q377" i="3" s="1"/>
  <c r="R377" i="3" s="1"/>
  <c r="S377" i="3" s="1"/>
  <c r="L376" i="3"/>
  <c r="U376" i="3" l="1"/>
  <c r="Y375" i="3"/>
  <c r="T377" i="3"/>
  <c r="AG377" i="3" s="1"/>
  <c r="AH377" i="3" l="1"/>
  <c r="D377" i="3"/>
  <c r="G377" i="3" s="1"/>
  <c r="E377" i="3"/>
  <c r="H377" i="3" s="1"/>
  <c r="K377" i="3" s="1"/>
  <c r="AE377" i="3" s="1"/>
  <c r="F377" i="3" l="1"/>
  <c r="I377" i="3"/>
  <c r="J377" i="3"/>
  <c r="M377" i="3"/>
  <c r="N377" i="3" s="1"/>
  <c r="V377" i="3"/>
  <c r="A378" i="3"/>
  <c r="B378" i="3" s="1"/>
  <c r="W377" i="3" l="1"/>
  <c r="AC378" i="3"/>
  <c r="P378" i="3"/>
  <c r="Q378" i="3" s="1"/>
  <c r="R378" i="3" s="1"/>
  <c r="S378" i="3" s="1"/>
  <c r="AD378" i="3"/>
  <c r="Z378" i="3"/>
  <c r="AA378" i="3"/>
  <c r="L377" i="3"/>
  <c r="T378" i="3" l="1"/>
  <c r="AH378" i="3" s="1"/>
  <c r="U377" i="3"/>
  <c r="Y376" i="3"/>
  <c r="D378" i="3" l="1"/>
  <c r="AG378" i="3"/>
  <c r="E378" i="3"/>
  <c r="H378" i="3" s="1"/>
  <c r="K378" i="3" s="1"/>
  <c r="AE378" i="3" s="1"/>
  <c r="F378" i="3" l="1"/>
  <c r="G378" i="3"/>
  <c r="I378" i="3" s="1"/>
  <c r="V378" i="3"/>
  <c r="A379" i="3"/>
  <c r="B379" i="3" s="1"/>
  <c r="M378" i="3" l="1"/>
  <c r="N378" i="3" s="1"/>
  <c r="J378" i="3"/>
  <c r="L378" i="3" s="1"/>
  <c r="AD379" i="3"/>
  <c r="Z379" i="3"/>
  <c r="AC379" i="3"/>
  <c r="AA379" i="3"/>
  <c r="P379" i="3"/>
  <c r="Q379" i="3" s="1"/>
  <c r="R379" i="3" s="1"/>
  <c r="S379" i="3" s="1"/>
  <c r="W378" i="3"/>
  <c r="T379" i="3" l="1"/>
  <c r="AH379" i="3" s="1"/>
  <c r="U378" i="3"/>
  <c r="Y377" i="3"/>
  <c r="AG379" i="3" l="1"/>
  <c r="E379" i="3"/>
  <c r="H379" i="3" s="1"/>
  <c r="K379" i="3" s="1"/>
  <c r="AE379" i="3" s="1"/>
  <c r="D379" i="3"/>
  <c r="G379" i="3" s="1"/>
  <c r="F379" i="3" l="1"/>
  <c r="V379" i="3"/>
  <c r="A380" i="3"/>
  <c r="B380" i="3" s="1"/>
  <c r="I379" i="3"/>
  <c r="J379" i="3"/>
  <c r="M379" i="3"/>
  <c r="N379" i="3" s="1"/>
  <c r="AA380" i="3" l="1"/>
  <c r="Z380" i="3"/>
  <c r="P380" i="3"/>
  <c r="Q380" i="3" s="1"/>
  <c r="R380" i="3" s="1"/>
  <c r="S380" i="3" s="1"/>
  <c r="AC380" i="3"/>
  <c r="AD380" i="3"/>
  <c r="L379" i="3"/>
  <c r="W379" i="3"/>
  <c r="T380" i="3" l="1"/>
  <c r="AH380" i="3" s="1"/>
  <c r="U379" i="3"/>
  <c r="Y378" i="3"/>
  <c r="AG380" i="3" l="1"/>
  <c r="D380" i="3"/>
  <c r="G380" i="3" s="1"/>
  <c r="E380" i="3"/>
  <c r="H380" i="3" s="1"/>
  <c r="K380" i="3" l="1"/>
  <c r="AE380" i="3" s="1"/>
  <c r="I380" i="3"/>
  <c r="J380" i="3"/>
  <c r="M380" i="3"/>
  <c r="N380" i="3" s="1"/>
  <c r="F380" i="3"/>
  <c r="L380" i="3" l="1"/>
  <c r="V380" i="3"/>
  <c r="W380" i="3" s="1"/>
  <c r="A381" i="3"/>
  <c r="B381" i="3" s="1"/>
  <c r="AC381" i="3" l="1"/>
  <c r="P381" i="3"/>
  <c r="Q381" i="3" s="1"/>
  <c r="R381" i="3" s="1"/>
  <c r="S381" i="3" s="1"/>
  <c r="AA381" i="3"/>
  <c r="AD381" i="3"/>
  <c r="Z381" i="3"/>
  <c r="U380" i="3"/>
  <c r="Y379" i="3"/>
  <c r="T381" i="3" l="1"/>
  <c r="AH381" i="3" s="1"/>
  <c r="AG381" i="3" l="1"/>
  <c r="D381" i="3"/>
  <c r="G381" i="3" s="1"/>
  <c r="E381" i="3"/>
  <c r="H381" i="3" s="1"/>
  <c r="K381" i="3" l="1"/>
  <c r="AE381" i="3" s="1"/>
  <c r="I381" i="3"/>
  <c r="J381" i="3"/>
  <c r="M381" i="3"/>
  <c r="N381" i="3" s="1"/>
  <c r="F381" i="3"/>
  <c r="L381" i="3" l="1"/>
  <c r="V381" i="3"/>
  <c r="W381" i="3" s="1"/>
  <c r="A382" i="3"/>
  <c r="B382" i="3" s="1"/>
  <c r="AD382" i="3" l="1"/>
  <c r="Z382" i="3"/>
  <c r="AC382" i="3"/>
  <c r="P382" i="3"/>
  <c r="Q382" i="3" s="1"/>
  <c r="R382" i="3" s="1"/>
  <c r="S382" i="3" s="1"/>
  <c r="AA382" i="3"/>
  <c r="U381" i="3"/>
  <c r="Y380" i="3"/>
  <c r="T382" i="3" l="1"/>
  <c r="D382" i="3" s="1"/>
  <c r="E382" i="3" l="1"/>
  <c r="H382" i="3" s="1"/>
  <c r="K382" i="3" s="1"/>
  <c r="AE382" i="3" s="1"/>
  <c r="AH382" i="3"/>
  <c r="AG382" i="3"/>
  <c r="G382" i="3"/>
  <c r="F382" i="3" l="1"/>
  <c r="V382" i="3"/>
  <c r="A383" i="3"/>
  <c r="B383" i="3" s="1"/>
  <c r="I382" i="3"/>
  <c r="J382" i="3"/>
  <c r="M382" i="3"/>
  <c r="N382" i="3" s="1"/>
  <c r="Z383" i="3" l="1"/>
  <c r="AD383" i="3"/>
  <c r="AA383" i="3"/>
  <c r="AC383" i="3"/>
  <c r="P383" i="3"/>
  <c r="Q383" i="3" s="1"/>
  <c r="R383" i="3" s="1"/>
  <c r="S383" i="3" s="1"/>
  <c r="L382" i="3"/>
  <c r="W382" i="3"/>
  <c r="T383" i="3" l="1"/>
  <c r="AH383" i="3" s="1"/>
  <c r="U382" i="3"/>
  <c r="Y381" i="3"/>
  <c r="AG383" i="3" l="1"/>
  <c r="E383" i="3"/>
  <c r="H383" i="3" s="1"/>
  <c r="K383" i="3" s="1"/>
  <c r="AE383" i="3" s="1"/>
  <c r="D383" i="3"/>
  <c r="G383" i="3" s="1"/>
  <c r="F383" i="3" l="1"/>
  <c r="I383" i="3"/>
  <c r="J383" i="3"/>
  <c r="M383" i="3"/>
  <c r="N383" i="3" s="1"/>
  <c r="V383" i="3"/>
  <c r="A384" i="3"/>
  <c r="B384" i="3" s="1"/>
  <c r="W383" i="3" l="1"/>
  <c r="P384" i="3"/>
  <c r="Q384" i="3" s="1"/>
  <c r="R384" i="3" s="1"/>
  <c r="S384" i="3" s="1"/>
  <c r="Z384" i="3"/>
  <c r="AD384" i="3"/>
  <c r="AC384" i="3"/>
  <c r="AA384" i="3"/>
  <c r="L383" i="3"/>
  <c r="T384" i="3" l="1"/>
  <c r="AG384" i="3" s="1"/>
  <c r="U383" i="3"/>
  <c r="Y382" i="3"/>
  <c r="D384" i="3" l="1"/>
  <c r="G384" i="3" s="1"/>
  <c r="AH384" i="3"/>
  <c r="E384" i="3"/>
  <c r="H384" i="3" s="1"/>
  <c r="K384" i="3" s="1"/>
  <c r="AE384" i="3" s="1"/>
  <c r="F384" i="3" l="1"/>
  <c r="V384" i="3"/>
  <c r="A385" i="3"/>
  <c r="B385" i="3" s="1"/>
  <c r="I384" i="3"/>
  <c r="J384" i="3"/>
  <c r="M384" i="3"/>
  <c r="N384" i="3" s="1"/>
  <c r="AD385" i="3" l="1"/>
  <c r="AC385" i="3"/>
  <c r="Z385" i="3"/>
  <c r="AA385" i="3"/>
  <c r="P385" i="3"/>
  <c r="Q385" i="3" s="1"/>
  <c r="R385" i="3" s="1"/>
  <c r="S385" i="3" s="1"/>
  <c r="L384" i="3"/>
  <c r="W384" i="3"/>
  <c r="U384" i="3" l="1"/>
  <c r="Y383" i="3"/>
  <c r="T385" i="3"/>
  <c r="D385" i="3" l="1"/>
  <c r="G385" i="3" s="1"/>
  <c r="E385" i="3"/>
  <c r="H385" i="3" s="1"/>
  <c r="K385" i="3" s="1"/>
  <c r="AE385" i="3" s="1"/>
  <c r="AG385" i="3"/>
  <c r="AH385" i="3"/>
  <c r="F385" i="3" l="1"/>
  <c r="V385" i="3"/>
  <c r="A386" i="3"/>
  <c r="B386" i="3" s="1"/>
  <c r="I385" i="3"/>
  <c r="J385" i="3"/>
  <c r="M385" i="3"/>
  <c r="N385" i="3" s="1"/>
  <c r="L385" i="3" l="1"/>
  <c r="AC386" i="3"/>
  <c r="P386" i="3"/>
  <c r="Q386" i="3" s="1"/>
  <c r="R386" i="3" s="1"/>
  <c r="S386" i="3" s="1"/>
  <c r="Z386" i="3"/>
  <c r="AA386" i="3"/>
  <c r="AD386" i="3"/>
  <c r="W385" i="3"/>
  <c r="T386" i="3" l="1"/>
  <c r="AG386" i="3" s="1"/>
  <c r="U385" i="3"/>
  <c r="Y384" i="3"/>
  <c r="AH386" i="3" l="1"/>
  <c r="E386" i="3"/>
  <c r="H386" i="3" s="1"/>
  <c r="K386" i="3" s="1"/>
  <c r="AE386" i="3" s="1"/>
  <c r="D386" i="3"/>
  <c r="F386" i="3" l="1"/>
  <c r="G386" i="3"/>
  <c r="I386" i="3" s="1"/>
  <c r="V386" i="3"/>
  <c r="A387" i="3"/>
  <c r="B387" i="3" s="1"/>
  <c r="M386" i="3" l="1"/>
  <c r="N386" i="3" s="1"/>
  <c r="J386" i="3"/>
  <c r="L386" i="3" s="1"/>
  <c r="W386" i="3"/>
  <c r="AC387" i="3"/>
  <c r="AA387" i="3"/>
  <c r="Z387" i="3"/>
  <c r="AD387" i="3"/>
  <c r="P387" i="3"/>
  <c r="Q387" i="3" s="1"/>
  <c r="R387" i="3" s="1"/>
  <c r="S387" i="3" s="1"/>
  <c r="T387" i="3" l="1"/>
  <c r="AH387" i="3" s="1"/>
  <c r="U386" i="3"/>
  <c r="Y385" i="3"/>
  <c r="D387" i="3" l="1"/>
  <c r="G387" i="3" s="1"/>
  <c r="AG387" i="3"/>
  <c r="E387" i="3"/>
  <c r="H387" i="3" s="1"/>
  <c r="K387" i="3" s="1"/>
  <c r="AE387" i="3" s="1"/>
  <c r="F387" i="3" l="1"/>
  <c r="I387" i="3"/>
  <c r="J387" i="3"/>
  <c r="M387" i="3"/>
  <c r="N387" i="3" s="1"/>
  <c r="V387" i="3"/>
  <c r="A388" i="3"/>
  <c r="B388" i="3" s="1"/>
  <c r="W387" i="3" l="1"/>
  <c r="AA388" i="3"/>
  <c r="Z388" i="3"/>
  <c r="P388" i="3"/>
  <c r="Q388" i="3" s="1"/>
  <c r="R388" i="3" s="1"/>
  <c r="S388" i="3" s="1"/>
  <c r="AC388" i="3"/>
  <c r="AD388" i="3"/>
  <c r="L387" i="3"/>
  <c r="T388" i="3" l="1"/>
  <c r="AH388" i="3" s="1"/>
  <c r="U387" i="3"/>
  <c r="Y386" i="3"/>
  <c r="AG388" i="3" l="1"/>
  <c r="E388" i="3"/>
  <c r="H388" i="3" s="1"/>
  <c r="K388" i="3" s="1"/>
  <c r="AE388" i="3" s="1"/>
  <c r="D388" i="3"/>
  <c r="G388" i="3" s="1"/>
  <c r="F388" i="3" l="1"/>
  <c r="I388" i="3"/>
  <c r="J388" i="3"/>
  <c r="M388" i="3"/>
  <c r="N388" i="3" s="1"/>
  <c r="V388" i="3"/>
  <c r="A389" i="3"/>
  <c r="B389" i="3" s="1"/>
  <c r="W388" i="3" l="1"/>
  <c r="AA389" i="3"/>
  <c r="AD389" i="3"/>
  <c r="AC389" i="3"/>
  <c r="Z389" i="3"/>
  <c r="P389" i="3"/>
  <c r="Q389" i="3" s="1"/>
  <c r="R389" i="3" s="1"/>
  <c r="S389" i="3" s="1"/>
  <c r="L388" i="3"/>
  <c r="T389" i="3" l="1"/>
  <c r="AH389" i="3" s="1"/>
  <c r="U388" i="3"/>
  <c r="Y387" i="3"/>
  <c r="AG389" i="3" l="1"/>
  <c r="E389" i="3"/>
  <c r="H389" i="3" s="1"/>
  <c r="K389" i="3" s="1"/>
  <c r="AE389" i="3" s="1"/>
  <c r="D389" i="3"/>
  <c r="F389" i="3" l="1"/>
  <c r="G389" i="3"/>
  <c r="I389" i="3" s="1"/>
  <c r="V389" i="3"/>
  <c r="A390" i="3"/>
  <c r="B390" i="3" s="1"/>
  <c r="M389" i="3" l="1"/>
  <c r="N389" i="3" s="1"/>
  <c r="J389" i="3"/>
  <c r="L389" i="3" s="1"/>
  <c r="W389" i="3"/>
  <c r="P390" i="3"/>
  <c r="Q390" i="3" s="1"/>
  <c r="R390" i="3" s="1"/>
  <c r="S390" i="3" s="1"/>
  <c r="AC390" i="3"/>
  <c r="Z390" i="3"/>
  <c r="AA390" i="3"/>
  <c r="AD390" i="3"/>
  <c r="T390" i="3" l="1"/>
  <c r="AG390" i="3" s="1"/>
  <c r="U389" i="3"/>
  <c r="Y388" i="3"/>
  <c r="D390" i="3" l="1"/>
  <c r="G390" i="3" s="1"/>
  <c r="AH390" i="3"/>
  <c r="E390" i="3"/>
  <c r="H390" i="3" s="1"/>
  <c r="K390" i="3" l="1"/>
  <c r="AE390" i="3" s="1"/>
  <c r="I390" i="3"/>
  <c r="J390" i="3"/>
  <c r="M390" i="3"/>
  <c r="N390" i="3" s="1"/>
  <c r="F390" i="3"/>
  <c r="L390" i="3" l="1"/>
  <c r="V390" i="3"/>
  <c r="W390" i="3" s="1"/>
  <c r="A391" i="3"/>
  <c r="B391" i="3" s="1"/>
  <c r="Z391" i="3" l="1"/>
  <c r="AC391" i="3"/>
  <c r="AA391" i="3"/>
  <c r="AD391" i="3"/>
  <c r="P391" i="3"/>
  <c r="Q391" i="3" s="1"/>
  <c r="R391" i="3" s="1"/>
  <c r="S391" i="3" s="1"/>
  <c r="U390" i="3"/>
  <c r="Y389" i="3"/>
  <c r="T391" i="3" l="1"/>
  <c r="E391" i="3" s="1"/>
  <c r="H391" i="3" s="1"/>
  <c r="AG391" i="3" l="1"/>
  <c r="AH391" i="3"/>
  <c r="D391" i="3"/>
  <c r="G391" i="3" s="1"/>
  <c r="K391" i="3"/>
  <c r="AE391" i="3" s="1"/>
  <c r="F391" i="3" l="1"/>
  <c r="I391" i="3"/>
  <c r="J391" i="3"/>
  <c r="M391" i="3"/>
  <c r="N391" i="3" s="1"/>
  <c r="V391" i="3"/>
  <c r="A392" i="3"/>
  <c r="B392" i="3" s="1"/>
  <c r="W391" i="3" l="1"/>
  <c r="P392" i="3"/>
  <c r="Q392" i="3" s="1"/>
  <c r="R392" i="3" s="1"/>
  <c r="S392" i="3" s="1"/>
  <c r="AD392" i="3"/>
  <c r="Z392" i="3"/>
  <c r="AA392" i="3"/>
  <c r="AC392" i="3"/>
  <c r="L391" i="3"/>
  <c r="T392" i="3" l="1"/>
  <c r="U391" i="3"/>
  <c r="Y390" i="3"/>
  <c r="D392" i="3" l="1"/>
  <c r="G392" i="3" s="1"/>
  <c r="E392" i="3"/>
  <c r="H392" i="3" s="1"/>
  <c r="K392" i="3" s="1"/>
  <c r="AE392" i="3" s="1"/>
  <c r="AH392" i="3"/>
  <c r="AG392" i="3"/>
  <c r="F392" i="3" l="1"/>
  <c r="V392" i="3"/>
  <c r="A393" i="3"/>
  <c r="B393" i="3" s="1"/>
  <c r="I392" i="3"/>
  <c r="J392" i="3"/>
  <c r="M392" i="3"/>
  <c r="N392" i="3" s="1"/>
  <c r="AC393" i="3" l="1"/>
  <c r="AD393" i="3"/>
  <c r="Z393" i="3"/>
  <c r="AA393" i="3"/>
  <c r="P393" i="3"/>
  <c r="Q393" i="3" s="1"/>
  <c r="R393" i="3" s="1"/>
  <c r="S393" i="3" s="1"/>
  <c r="L392" i="3"/>
  <c r="W392" i="3"/>
  <c r="U392" i="3" l="1"/>
  <c r="Y391" i="3"/>
  <c r="T393" i="3"/>
  <c r="E393" i="3" l="1"/>
  <c r="H393" i="3" s="1"/>
  <c r="K393" i="3" s="1"/>
  <c r="AE393" i="3" s="1"/>
  <c r="D393" i="3"/>
  <c r="AG393" i="3"/>
  <c r="AH393" i="3"/>
  <c r="F393" i="3" l="1"/>
  <c r="G393" i="3"/>
  <c r="I393" i="3" s="1"/>
  <c r="V393" i="3"/>
  <c r="A394" i="3"/>
  <c r="B394" i="3" s="1"/>
  <c r="M393" i="3" l="1"/>
  <c r="N393" i="3" s="1"/>
  <c r="J393" i="3"/>
  <c r="L393" i="3" s="1"/>
  <c r="W393" i="3"/>
  <c r="Z394" i="3"/>
  <c r="AA394" i="3"/>
  <c r="AD394" i="3"/>
  <c r="P394" i="3"/>
  <c r="Q394" i="3" s="1"/>
  <c r="R394" i="3" s="1"/>
  <c r="S394" i="3" s="1"/>
  <c r="AC394" i="3"/>
  <c r="T394" i="3" l="1"/>
  <c r="AG394" i="3" s="1"/>
  <c r="U393" i="3"/>
  <c r="Y392" i="3"/>
  <c r="D394" i="3" l="1"/>
  <c r="G394" i="3" s="1"/>
  <c r="AH394" i="3"/>
  <c r="E394" i="3"/>
  <c r="H394" i="3" s="1"/>
  <c r="K394" i="3" s="1"/>
  <c r="AE394" i="3" s="1"/>
  <c r="F394" i="3" l="1"/>
  <c r="V394" i="3"/>
  <c r="A395" i="3"/>
  <c r="B395" i="3" s="1"/>
  <c r="I394" i="3"/>
  <c r="J394" i="3"/>
  <c r="M394" i="3"/>
  <c r="N394" i="3" s="1"/>
  <c r="L394" i="3" l="1"/>
  <c r="Z395" i="3"/>
  <c r="AC395" i="3"/>
  <c r="AD395" i="3"/>
  <c r="P395" i="3"/>
  <c r="Q395" i="3" s="1"/>
  <c r="R395" i="3" s="1"/>
  <c r="S395" i="3" s="1"/>
  <c r="AA395" i="3"/>
  <c r="W394" i="3"/>
  <c r="U394" i="3" l="1"/>
  <c r="Y393" i="3"/>
  <c r="T395" i="3"/>
  <c r="D395" i="3" l="1"/>
  <c r="G395" i="3" s="1"/>
  <c r="E395" i="3"/>
  <c r="H395" i="3" s="1"/>
  <c r="K395" i="3" s="1"/>
  <c r="AE395" i="3" s="1"/>
  <c r="AG395" i="3"/>
  <c r="AH395" i="3"/>
  <c r="F395" i="3" l="1"/>
  <c r="V395" i="3"/>
  <c r="A396" i="3"/>
  <c r="B396" i="3" s="1"/>
  <c r="I395" i="3"/>
  <c r="J395" i="3"/>
  <c r="M395" i="3"/>
  <c r="N395" i="3" s="1"/>
  <c r="L395" i="3" l="1"/>
  <c r="AD396" i="3"/>
  <c r="AC396" i="3"/>
  <c r="AA396" i="3"/>
  <c r="P396" i="3"/>
  <c r="Q396" i="3" s="1"/>
  <c r="R396" i="3" s="1"/>
  <c r="S396" i="3" s="1"/>
  <c r="Z396" i="3"/>
  <c r="W395" i="3"/>
  <c r="T396" i="3" l="1"/>
  <c r="AG396" i="3" s="1"/>
  <c r="U395" i="3"/>
  <c r="Y394" i="3"/>
  <c r="AH396" i="3" l="1"/>
  <c r="D396" i="3"/>
  <c r="G396" i="3" s="1"/>
  <c r="E396" i="3"/>
  <c r="H396" i="3" s="1"/>
  <c r="K396" i="3" s="1"/>
  <c r="AE396" i="3" s="1"/>
  <c r="F396" i="3" l="1"/>
  <c r="I396" i="3"/>
  <c r="J396" i="3"/>
  <c r="M396" i="3"/>
  <c r="N396" i="3" s="1"/>
  <c r="V396" i="3"/>
  <c r="A397" i="3"/>
  <c r="B397" i="3" s="1"/>
  <c r="W396" i="3" l="1"/>
  <c r="Z397" i="3"/>
  <c r="AD397" i="3"/>
  <c r="P397" i="3"/>
  <c r="Q397" i="3" s="1"/>
  <c r="R397" i="3" s="1"/>
  <c r="S397" i="3" s="1"/>
  <c r="AA397" i="3"/>
  <c r="AC397" i="3"/>
  <c r="L396" i="3"/>
  <c r="T397" i="3" l="1"/>
  <c r="AH397" i="3" s="1"/>
  <c r="U396" i="3"/>
  <c r="Y395" i="3"/>
  <c r="E397" i="3" l="1"/>
  <c r="H397" i="3" s="1"/>
  <c r="K397" i="3" s="1"/>
  <c r="AE397" i="3" s="1"/>
  <c r="AG397" i="3"/>
  <c r="D397" i="3"/>
  <c r="F397" i="3" l="1"/>
  <c r="G397" i="3"/>
  <c r="I397" i="3" s="1"/>
  <c r="V397" i="3"/>
  <c r="A398" i="3"/>
  <c r="B398" i="3" s="1"/>
  <c r="M397" i="3" l="1"/>
  <c r="N397" i="3" s="1"/>
  <c r="J397" i="3"/>
  <c r="L397" i="3" s="1"/>
  <c r="W397" i="3"/>
  <c r="Z398" i="3"/>
  <c r="AC398" i="3"/>
  <c r="AA398" i="3"/>
  <c r="AD398" i="3"/>
  <c r="P398" i="3"/>
  <c r="Q398" i="3" s="1"/>
  <c r="R398" i="3" s="1"/>
  <c r="S398" i="3" s="1"/>
  <c r="T398" i="3" l="1"/>
  <c r="AH398" i="3" s="1"/>
  <c r="U397" i="3"/>
  <c r="Y396" i="3"/>
  <c r="D398" i="3" l="1"/>
  <c r="G398" i="3" s="1"/>
  <c r="AG398" i="3"/>
  <c r="E398" i="3"/>
  <c r="H398" i="3" s="1"/>
  <c r="K398" i="3" l="1"/>
  <c r="AE398" i="3" s="1"/>
  <c r="I398" i="3"/>
  <c r="J398" i="3"/>
  <c r="M398" i="3"/>
  <c r="N398" i="3" s="1"/>
  <c r="F398" i="3"/>
  <c r="L398" i="3" l="1"/>
  <c r="V398" i="3"/>
  <c r="W398" i="3" s="1"/>
  <c r="A399" i="3"/>
  <c r="B399" i="3" s="1"/>
  <c r="AA399" i="3" l="1"/>
  <c r="AC399" i="3"/>
  <c r="Z399" i="3"/>
  <c r="AD399" i="3"/>
  <c r="P399" i="3"/>
  <c r="Q399" i="3" s="1"/>
  <c r="R399" i="3" s="1"/>
  <c r="S399" i="3" s="1"/>
  <c r="U398" i="3"/>
  <c r="Y397" i="3"/>
  <c r="T399" i="3" l="1"/>
  <c r="AH399" i="3" s="1"/>
  <c r="D399" i="3" l="1"/>
  <c r="G399" i="3" s="1"/>
  <c r="AG399" i="3"/>
  <c r="E399" i="3"/>
  <c r="H399" i="3" s="1"/>
  <c r="K399" i="3" l="1"/>
  <c r="AE399" i="3" s="1"/>
  <c r="I399" i="3"/>
  <c r="J399" i="3"/>
  <c r="M399" i="3"/>
  <c r="N399" i="3" s="1"/>
  <c r="F399" i="3"/>
  <c r="L399" i="3" l="1"/>
  <c r="V399" i="3"/>
  <c r="W399" i="3" s="1"/>
  <c r="A400" i="3"/>
  <c r="B400" i="3" s="1"/>
  <c r="P400" i="3" l="1"/>
  <c r="Q400" i="3" s="1"/>
  <c r="R400" i="3" s="1"/>
  <c r="S400" i="3" s="1"/>
  <c r="AA400" i="3"/>
  <c r="AD400" i="3"/>
  <c r="AC400" i="3"/>
  <c r="Z400" i="3"/>
  <c r="U399" i="3"/>
  <c r="Y398" i="3"/>
  <c r="T400" i="3" l="1"/>
  <c r="E400" i="3" s="1"/>
  <c r="H400" i="3" s="1"/>
  <c r="K400" i="3" l="1"/>
  <c r="AE400" i="3" s="1"/>
  <c r="AG400" i="3"/>
  <c r="AH400" i="3"/>
  <c r="D400" i="3"/>
  <c r="F400" i="3" l="1"/>
  <c r="G400" i="3"/>
  <c r="V400" i="3"/>
  <c r="A401" i="3"/>
  <c r="B401" i="3" s="1"/>
  <c r="AA401" i="3" l="1"/>
  <c r="Z401" i="3"/>
  <c r="AC401" i="3"/>
  <c r="AD401" i="3"/>
  <c r="P401" i="3"/>
  <c r="Q401" i="3" s="1"/>
  <c r="R401" i="3" s="1"/>
  <c r="S401" i="3" s="1"/>
  <c r="I400" i="3"/>
  <c r="W400" i="3" s="1"/>
  <c r="J400" i="3"/>
  <c r="M400" i="3"/>
  <c r="N400" i="3" s="1"/>
  <c r="T401" i="3" l="1"/>
  <c r="L400" i="3"/>
  <c r="AH401" i="3" l="1"/>
  <c r="AG401" i="3"/>
  <c r="U400" i="3"/>
  <c r="E401" i="3" s="1"/>
  <c r="H401" i="3" s="1"/>
  <c r="Y399" i="3"/>
  <c r="D401" i="3" l="1"/>
  <c r="F401" i="3" s="1"/>
  <c r="K401" i="3"/>
  <c r="AE401" i="3" s="1"/>
  <c r="G401" i="3" l="1"/>
  <c r="I401" i="3" s="1"/>
  <c r="V401" i="3"/>
  <c r="A402" i="3"/>
  <c r="B402" i="3" s="1"/>
  <c r="M401" i="3" l="1"/>
  <c r="N401" i="3" s="1"/>
  <c r="J401" i="3"/>
  <c r="L401" i="3" s="1"/>
  <c r="W401" i="3"/>
  <c r="AA402" i="3"/>
  <c r="AC402" i="3"/>
  <c r="Z402" i="3"/>
  <c r="AD402" i="3"/>
  <c r="P402" i="3"/>
  <c r="Q402" i="3" s="1"/>
  <c r="R402" i="3" s="1"/>
  <c r="S402" i="3" s="1"/>
  <c r="T402" i="3" l="1"/>
  <c r="AG402" i="3" s="1"/>
  <c r="U401" i="3"/>
  <c r="Y400" i="3"/>
  <c r="AH402" i="3" l="1"/>
  <c r="D402" i="3"/>
  <c r="G402" i="3" s="1"/>
  <c r="E402" i="3"/>
  <c r="H402" i="3" s="1"/>
  <c r="K402" i="3" s="1"/>
  <c r="AE402" i="3" s="1"/>
  <c r="F402" i="3" l="1"/>
  <c r="I402" i="3"/>
  <c r="J402" i="3"/>
  <c r="M402" i="3"/>
  <c r="N402" i="3" s="1"/>
  <c r="V402" i="3"/>
  <c r="A403" i="3"/>
  <c r="B403" i="3" s="1"/>
  <c r="W402" i="3" l="1"/>
  <c r="Z403" i="3"/>
  <c r="AD403" i="3"/>
  <c r="AC403" i="3"/>
  <c r="AA403" i="3"/>
  <c r="P403" i="3"/>
  <c r="Q403" i="3" s="1"/>
  <c r="R403" i="3" s="1"/>
  <c r="S403" i="3" s="1"/>
  <c r="L402" i="3"/>
  <c r="T403" i="3" l="1"/>
  <c r="AH403" i="3" s="1"/>
  <c r="U402" i="3"/>
  <c r="Y401" i="3"/>
  <c r="AG403" i="3" l="1"/>
  <c r="D403" i="3"/>
  <c r="G403" i="3" s="1"/>
  <c r="E403" i="3"/>
  <c r="H403" i="3" s="1"/>
  <c r="K403" i="3" s="1"/>
  <c r="AE403" i="3" s="1"/>
  <c r="F403" i="3" l="1"/>
  <c r="V403" i="3"/>
  <c r="A404" i="3"/>
  <c r="B404" i="3" s="1"/>
  <c r="I403" i="3"/>
  <c r="J403" i="3"/>
  <c r="M403" i="3"/>
  <c r="N403" i="3" s="1"/>
  <c r="L403" i="3" l="1"/>
  <c r="AA404" i="3"/>
  <c r="Z404" i="3"/>
  <c r="AC404" i="3"/>
  <c r="P404" i="3"/>
  <c r="Q404" i="3" s="1"/>
  <c r="R404" i="3" s="1"/>
  <c r="S404" i="3" s="1"/>
  <c r="W403" i="3"/>
  <c r="U403" i="3" l="1"/>
  <c r="Y402" i="3"/>
  <c r="T404" i="3"/>
  <c r="E404" i="3" l="1"/>
  <c r="H404" i="3" s="1"/>
  <c r="K404" i="3" s="1"/>
  <c r="AE404" i="3" s="1"/>
  <c r="AG404" i="3"/>
  <c r="D404" i="3"/>
  <c r="G404" i="3" s="1"/>
  <c r="AH404" i="3"/>
  <c r="F404" i="3" l="1"/>
  <c r="I404" i="3"/>
  <c r="J404" i="3"/>
  <c r="AD404" i="3" s="1"/>
  <c r="M404" i="3"/>
  <c r="N404" i="3" s="1"/>
  <c r="V404" i="3"/>
  <c r="W404" i="3" s="1"/>
  <c r="A405" i="3"/>
  <c r="B405" i="3" s="1"/>
  <c r="AA405" i="3" l="1"/>
  <c r="AD405" i="3"/>
  <c r="P405" i="3"/>
  <c r="Q405" i="3" s="1"/>
  <c r="R405" i="3" s="1"/>
  <c r="S405" i="3" s="1"/>
  <c r="Z405" i="3"/>
  <c r="AC405" i="3"/>
  <c r="L404" i="3"/>
  <c r="T405" i="3" l="1"/>
  <c r="AH405" i="3" s="1"/>
  <c r="U404" i="3"/>
  <c r="Y403" i="3"/>
  <c r="E405" i="3" l="1"/>
  <c r="H405" i="3" s="1"/>
  <c r="K405" i="3" s="1"/>
  <c r="AE405" i="3" s="1"/>
  <c r="D405" i="3"/>
  <c r="G405" i="3" s="1"/>
  <c r="AG405" i="3"/>
  <c r="F405" i="3" l="1"/>
  <c r="V405" i="3"/>
  <c r="A406" i="3"/>
  <c r="B406" i="3" s="1"/>
  <c r="I405" i="3"/>
  <c r="J405" i="3"/>
  <c r="M405" i="3"/>
  <c r="N405" i="3" s="1"/>
  <c r="L405" i="3" l="1"/>
  <c r="Z406" i="3"/>
  <c r="AC406" i="3"/>
  <c r="AD406" i="3"/>
  <c r="AA406" i="3"/>
  <c r="P406" i="3"/>
  <c r="Q406" i="3" s="1"/>
  <c r="R406" i="3" s="1"/>
  <c r="S406" i="3" s="1"/>
  <c r="W405" i="3"/>
  <c r="T406" i="3" l="1"/>
  <c r="AH406" i="3" s="1"/>
  <c r="U405" i="3"/>
  <c r="Y404" i="3"/>
  <c r="AG406" i="3" l="1"/>
  <c r="D406" i="3"/>
  <c r="G406" i="3" s="1"/>
  <c r="E406" i="3"/>
  <c r="H406" i="3" s="1"/>
  <c r="K406" i="3" s="1"/>
  <c r="AE406" i="3" s="1"/>
  <c r="F406" i="3" l="1"/>
  <c r="V406" i="3"/>
  <c r="A407" i="3"/>
  <c r="B407" i="3" s="1"/>
  <c r="I406" i="3"/>
  <c r="J406" i="3"/>
  <c r="M406" i="3"/>
  <c r="N406" i="3" s="1"/>
  <c r="AC407" i="3" l="1"/>
  <c r="Z407" i="3"/>
  <c r="P407" i="3"/>
  <c r="Q407" i="3" s="1"/>
  <c r="R407" i="3" s="1"/>
  <c r="S407" i="3" s="1"/>
  <c r="AA407" i="3"/>
  <c r="AD407" i="3"/>
  <c r="L406" i="3"/>
  <c r="W406" i="3"/>
  <c r="T407" i="3" l="1"/>
  <c r="AH407" i="3" s="1"/>
  <c r="U406" i="3"/>
  <c r="Y405" i="3"/>
  <c r="E407" i="3" l="1"/>
  <c r="H407" i="3" s="1"/>
  <c r="K407" i="3" s="1"/>
  <c r="AE407" i="3" s="1"/>
  <c r="AG407" i="3"/>
  <c r="D407" i="3"/>
  <c r="F407" i="3" l="1"/>
  <c r="G407" i="3"/>
  <c r="I407" i="3" s="1"/>
  <c r="V407" i="3"/>
  <c r="A408" i="3"/>
  <c r="B408" i="3" s="1"/>
  <c r="M407" i="3" l="1"/>
  <c r="N407" i="3" s="1"/>
  <c r="J407" i="3"/>
  <c r="L407" i="3" s="1"/>
  <c r="W407" i="3"/>
  <c r="P408" i="3"/>
  <c r="Q408" i="3" s="1"/>
  <c r="R408" i="3" s="1"/>
  <c r="S408" i="3" s="1"/>
  <c r="AD408" i="3"/>
  <c r="Z408" i="3"/>
  <c r="AA408" i="3"/>
  <c r="AC408" i="3"/>
  <c r="T408" i="3" l="1"/>
  <c r="AG408" i="3" s="1"/>
  <c r="U407" i="3"/>
  <c r="Y406" i="3"/>
  <c r="AH408" i="3" l="1"/>
  <c r="E408" i="3"/>
  <c r="H408" i="3" s="1"/>
  <c r="K408" i="3" s="1"/>
  <c r="AE408" i="3" s="1"/>
  <c r="D408" i="3"/>
  <c r="F408" i="3" l="1"/>
  <c r="G408" i="3"/>
  <c r="V408" i="3"/>
  <c r="A409" i="3"/>
  <c r="B409" i="3" s="1"/>
  <c r="P409" i="3" l="1"/>
  <c r="Q409" i="3" s="1"/>
  <c r="R409" i="3" s="1"/>
  <c r="S409" i="3" s="1"/>
  <c r="AA409" i="3"/>
  <c r="Z409" i="3"/>
  <c r="AD409" i="3"/>
  <c r="AC409" i="3"/>
  <c r="I408" i="3"/>
  <c r="W408" i="3" s="1"/>
  <c r="J408" i="3"/>
  <c r="M408" i="3"/>
  <c r="N408" i="3" s="1"/>
  <c r="L408" i="3" l="1"/>
  <c r="T409" i="3"/>
  <c r="AH409" i="3" l="1"/>
  <c r="U408" i="3"/>
  <c r="E409" i="3" s="1"/>
  <c r="H409" i="3" s="1"/>
  <c r="AG409" i="3"/>
  <c r="Y407" i="3"/>
  <c r="D409" i="3" l="1"/>
  <c r="G409" i="3" s="1"/>
  <c r="K409" i="3"/>
  <c r="AE409" i="3" s="1"/>
  <c r="F409" i="3" l="1"/>
  <c r="I409" i="3"/>
  <c r="J409" i="3"/>
  <c r="M409" i="3"/>
  <c r="N409" i="3" s="1"/>
  <c r="V409" i="3"/>
  <c r="A410" i="3"/>
  <c r="B410" i="3" s="1"/>
  <c r="W409" i="3" l="1"/>
  <c r="AA410" i="3"/>
  <c r="AC410" i="3"/>
  <c r="Z410" i="3"/>
  <c r="AD410" i="3"/>
  <c r="P410" i="3"/>
  <c r="Q410" i="3" s="1"/>
  <c r="R410" i="3" s="1"/>
  <c r="S410" i="3" s="1"/>
  <c r="L409" i="3"/>
  <c r="T410" i="3" l="1"/>
  <c r="AG410" i="3" s="1"/>
  <c r="U409" i="3"/>
  <c r="Y408" i="3"/>
  <c r="AH410" i="3" l="1"/>
  <c r="D410" i="3"/>
  <c r="G410" i="3" s="1"/>
  <c r="E410" i="3"/>
  <c r="H410" i="3" s="1"/>
  <c r="K410" i="3" s="1"/>
  <c r="AE410" i="3" s="1"/>
  <c r="F410" i="3" l="1"/>
  <c r="V410" i="3"/>
  <c r="A411" i="3"/>
  <c r="B411" i="3" s="1"/>
  <c r="I410" i="3"/>
  <c r="J410" i="3"/>
  <c r="M410" i="3"/>
  <c r="N410" i="3" s="1"/>
  <c r="L410" i="3" l="1"/>
  <c r="P411" i="3"/>
  <c r="Q411" i="3" s="1"/>
  <c r="R411" i="3" s="1"/>
  <c r="S411" i="3" s="1"/>
  <c r="AC411" i="3"/>
  <c r="Z411" i="3"/>
  <c r="AA411" i="3"/>
  <c r="AD411" i="3"/>
  <c r="W410" i="3"/>
  <c r="T411" i="3" l="1"/>
  <c r="AG411" i="3" s="1"/>
  <c r="U410" i="3"/>
  <c r="Y409" i="3"/>
  <c r="D411" i="3" l="1"/>
  <c r="G411" i="3" s="1"/>
  <c r="AH411" i="3"/>
  <c r="E411" i="3"/>
  <c r="H411" i="3" s="1"/>
  <c r="K411" i="3" s="1"/>
  <c r="AE411" i="3" s="1"/>
  <c r="F411" i="3" l="1"/>
  <c r="V411" i="3"/>
  <c r="A412" i="3"/>
  <c r="B412" i="3" s="1"/>
  <c r="I411" i="3"/>
  <c r="J411" i="3"/>
  <c r="M411" i="3"/>
  <c r="N411" i="3" s="1"/>
  <c r="AD412" i="3" l="1"/>
  <c r="AA412" i="3"/>
  <c r="AC412" i="3"/>
  <c r="Z412" i="3"/>
  <c r="P412" i="3"/>
  <c r="Q412" i="3" s="1"/>
  <c r="R412" i="3" s="1"/>
  <c r="S412" i="3" s="1"/>
  <c r="L411" i="3"/>
  <c r="W411" i="3"/>
  <c r="T412" i="3" l="1"/>
  <c r="AH412" i="3" s="1"/>
  <c r="U411" i="3"/>
  <c r="Y410" i="3"/>
  <c r="AG412" i="3" l="1"/>
  <c r="E412" i="3"/>
  <c r="H412" i="3" s="1"/>
  <c r="K412" i="3" s="1"/>
  <c r="AE412" i="3" s="1"/>
  <c r="D412" i="3"/>
  <c r="G412" i="3" s="1"/>
  <c r="F412" i="3" l="1"/>
  <c r="I412" i="3"/>
  <c r="J412" i="3"/>
  <c r="M412" i="3"/>
  <c r="N412" i="3" s="1"/>
  <c r="V412" i="3"/>
  <c r="A413" i="3"/>
  <c r="B413" i="3" s="1"/>
  <c r="W412" i="3" l="1"/>
  <c r="AA413" i="3"/>
  <c r="Z413" i="3"/>
  <c r="P413" i="3"/>
  <c r="Q413" i="3" s="1"/>
  <c r="R413" i="3" s="1"/>
  <c r="S413" i="3" s="1"/>
  <c r="AC413" i="3"/>
  <c r="AD413" i="3"/>
  <c r="L412" i="3"/>
  <c r="T413" i="3" l="1"/>
  <c r="AG413" i="3" s="1"/>
  <c r="U412" i="3"/>
  <c r="Y411" i="3"/>
  <c r="AH413" i="3" l="1"/>
  <c r="E413" i="3"/>
  <c r="H413" i="3" s="1"/>
  <c r="K413" i="3" s="1"/>
  <c r="AE413" i="3" s="1"/>
  <c r="D413" i="3"/>
  <c r="F413" i="3" l="1"/>
  <c r="G413" i="3"/>
  <c r="J413" i="3" s="1"/>
  <c r="V413" i="3"/>
  <c r="A414" i="3"/>
  <c r="B414" i="3" s="1"/>
  <c r="M413" i="3" l="1"/>
  <c r="N413" i="3" s="1"/>
  <c r="I413" i="3"/>
  <c r="W413" i="3" s="1"/>
  <c r="Z414" i="3"/>
  <c r="AA414" i="3"/>
  <c r="AC414" i="3"/>
  <c r="P414" i="3"/>
  <c r="Q414" i="3" s="1"/>
  <c r="R414" i="3" s="1"/>
  <c r="S414" i="3" s="1"/>
  <c r="L413" i="3"/>
  <c r="T414" i="3" l="1"/>
  <c r="AH414" i="3" s="1"/>
  <c r="U413" i="3"/>
  <c r="Y412" i="3"/>
  <c r="AG414" i="3" l="1"/>
  <c r="D414" i="3"/>
  <c r="G414" i="3" s="1"/>
  <c r="E414" i="3"/>
  <c r="H414" i="3" s="1"/>
  <c r="K414" i="3" s="1"/>
  <c r="AE414" i="3" s="1"/>
  <c r="F414" i="3" l="1"/>
  <c r="V414" i="3"/>
  <c r="A415" i="3"/>
  <c r="B415" i="3" s="1"/>
  <c r="I414" i="3"/>
  <c r="J414" i="3"/>
  <c r="AD414" i="3" s="1"/>
  <c r="M414" i="3"/>
  <c r="N414" i="3" s="1"/>
  <c r="L414" i="3" l="1"/>
  <c r="P415" i="3"/>
  <c r="Q415" i="3" s="1"/>
  <c r="R415" i="3" s="1"/>
  <c r="S415" i="3" s="1"/>
  <c r="AA415" i="3"/>
  <c r="Z415" i="3"/>
  <c r="AC415" i="3"/>
  <c r="AD415" i="3"/>
  <c r="W414" i="3"/>
  <c r="T415" i="3" l="1"/>
  <c r="AH415" i="3" s="1"/>
  <c r="U414" i="3"/>
  <c r="Y413" i="3"/>
  <c r="E415" i="3" l="1"/>
  <c r="H415" i="3" s="1"/>
  <c r="K415" i="3" s="1"/>
  <c r="AE415" i="3" s="1"/>
  <c r="AG415" i="3"/>
  <c r="D415" i="3"/>
  <c r="F415" i="3" l="1"/>
  <c r="G415" i="3"/>
  <c r="I415" i="3" s="1"/>
  <c r="V415" i="3"/>
  <c r="A416" i="3"/>
  <c r="B416" i="3" s="1"/>
  <c r="M415" i="3" l="1"/>
  <c r="N415" i="3" s="1"/>
  <c r="J415" i="3"/>
  <c r="L415" i="3" s="1"/>
  <c r="P416" i="3"/>
  <c r="Q416" i="3" s="1"/>
  <c r="R416" i="3" s="1"/>
  <c r="S416" i="3" s="1"/>
  <c r="AC416" i="3"/>
  <c r="Z416" i="3"/>
  <c r="AD416" i="3"/>
  <c r="AA416" i="3"/>
  <c r="W415" i="3"/>
  <c r="T416" i="3" l="1"/>
  <c r="AH416" i="3" s="1"/>
  <c r="U415" i="3"/>
  <c r="Y414" i="3"/>
  <c r="AG416" i="3" l="1"/>
  <c r="E416" i="3"/>
  <c r="H416" i="3" s="1"/>
  <c r="K416" i="3" s="1"/>
  <c r="AE416" i="3" s="1"/>
  <c r="D416" i="3"/>
  <c r="F416" i="3" l="1"/>
  <c r="G416" i="3"/>
  <c r="I416" i="3" s="1"/>
  <c r="V416" i="3"/>
  <c r="A417" i="3"/>
  <c r="B417" i="3" s="1"/>
  <c r="M416" i="3" l="1"/>
  <c r="N416" i="3" s="1"/>
  <c r="J416" i="3"/>
  <c r="L416" i="3" s="1"/>
  <c r="W416" i="3"/>
  <c r="AA417" i="3"/>
  <c r="AC417" i="3"/>
  <c r="AD417" i="3"/>
  <c r="Z417" i="3"/>
  <c r="P417" i="3"/>
  <c r="Q417" i="3" s="1"/>
  <c r="R417" i="3" s="1"/>
  <c r="S417" i="3" s="1"/>
  <c r="T417" i="3" l="1"/>
  <c r="AH417" i="3" s="1"/>
  <c r="U416" i="3"/>
  <c r="Y415" i="3"/>
  <c r="AG417" i="3" l="1"/>
  <c r="E417" i="3"/>
  <c r="H417" i="3" s="1"/>
  <c r="K417" i="3" s="1"/>
  <c r="AE417" i="3" s="1"/>
  <c r="D417" i="3"/>
  <c r="F417" i="3" l="1"/>
  <c r="G417" i="3"/>
  <c r="I417" i="3" s="1"/>
  <c r="V417" i="3"/>
  <c r="A418" i="3"/>
  <c r="B418" i="3" s="1"/>
  <c r="M417" i="3" l="1"/>
  <c r="N417" i="3" s="1"/>
  <c r="J417" i="3"/>
  <c r="L417" i="3" s="1"/>
  <c r="W417" i="3"/>
  <c r="AC418" i="3"/>
  <c r="AD418" i="3"/>
  <c r="P418" i="3"/>
  <c r="Q418" i="3" s="1"/>
  <c r="R418" i="3" s="1"/>
  <c r="S418" i="3" s="1"/>
  <c r="AA418" i="3"/>
  <c r="Z418" i="3"/>
  <c r="U417" i="3" l="1"/>
  <c r="Y416" i="3"/>
  <c r="T418" i="3"/>
  <c r="AG418" i="3" s="1"/>
  <c r="E418" i="3" l="1"/>
  <c r="H418" i="3" s="1"/>
  <c r="D418" i="3"/>
  <c r="AH418" i="3"/>
  <c r="F418" i="3" l="1"/>
  <c r="G418" i="3"/>
  <c r="K418" i="3"/>
  <c r="AE418" i="3" s="1"/>
  <c r="V418" i="3" l="1"/>
  <c r="A419" i="3"/>
  <c r="B419" i="3" s="1"/>
  <c r="I418" i="3"/>
  <c r="J418" i="3"/>
  <c r="M418" i="3"/>
  <c r="N418" i="3" s="1"/>
  <c r="L418" i="3" l="1"/>
  <c r="AD419" i="3"/>
  <c r="AC419" i="3"/>
  <c r="AA419" i="3"/>
  <c r="Z419" i="3"/>
  <c r="P419" i="3"/>
  <c r="Q419" i="3" s="1"/>
  <c r="R419" i="3" s="1"/>
  <c r="S419" i="3" s="1"/>
  <c r="W418" i="3"/>
  <c r="T419" i="3" l="1"/>
  <c r="AG419" i="3" s="1"/>
  <c r="U418" i="3"/>
  <c r="Y417" i="3"/>
  <c r="D419" i="3" l="1"/>
  <c r="G419" i="3" s="1"/>
  <c r="AH419" i="3"/>
  <c r="E419" i="3"/>
  <c r="H419" i="3" s="1"/>
  <c r="K419" i="3" s="1"/>
  <c r="AE419" i="3" s="1"/>
  <c r="F419" i="3" l="1"/>
  <c r="I419" i="3"/>
  <c r="J419" i="3"/>
  <c r="M419" i="3"/>
  <c r="N419" i="3" s="1"/>
  <c r="V419" i="3"/>
  <c r="A420" i="3"/>
  <c r="B420" i="3" s="1"/>
  <c r="W419" i="3" l="1"/>
  <c r="Z420" i="3"/>
  <c r="AC420" i="3"/>
  <c r="AA420" i="3"/>
  <c r="AD420" i="3"/>
  <c r="P420" i="3"/>
  <c r="Q420" i="3" s="1"/>
  <c r="R420" i="3" s="1"/>
  <c r="S420" i="3" s="1"/>
  <c r="L419" i="3"/>
  <c r="T420" i="3" l="1"/>
  <c r="AG420" i="3" s="1"/>
  <c r="U419" i="3"/>
  <c r="Y418" i="3"/>
  <c r="E420" i="3" l="1"/>
  <c r="H420" i="3" s="1"/>
  <c r="K420" i="3" s="1"/>
  <c r="AE420" i="3" s="1"/>
  <c r="AH420" i="3"/>
  <c r="D420" i="3"/>
  <c r="F420" i="3" l="1"/>
  <c r="G420" i="3"/>
  <c r="I420" i="3" s="1"/>
  <c r="V420" i="3"/>
  <c r="A421" i="3"/>
  <c r="B421" i="3" s="1"/>
  <c r="M420" i="3" l="1"/>
  <c r="N420" i="3" s="1"/>
  <c r="J420" i="3"/>
  <c r="L420" i="3" s="1"/>
  <c r="W420" i="3"/>
  <c r="Z421" i="3"/>
  <c r="P421" i="3"/>
  <c r="Q421" i="3" s="1"/>
  <c r="R421" i="3" s="1"/>
  <c r="S421" i="3" s="1"/>
  <c r="AD421" i="3"/>
  <c r="AA421" i="3"/>
  <c r="AC421" i="3"/>
  <c r="T421" i="3" l="1"/>
  <c r="AH421" i="3" s="1"/>
  <c r="U420" i="3"/>
  <c r="Y419" i="3"/>
  <c r="D421" i="3" l="1"/>
  <c r="G421" i="3" s="1"/>
  <c r="AG421" i="3"/>
  <c r="E421" i="3"/>
  <c r="H421" i="3" s="1"/>
  <c r="K421" i="3" s="1"/>
  <c r="AE421" i="3" s="1"/>
  <c r="F421" i="3" l="1"/>
  <c r="V421" i="3"/>
  <c r="A422" i="3"/>
  <c r="B422" i="3" s="1"/>
  <c r="I421" i="3"/>
  <c r="J421" i="3"/>
  <c r="M421" i="3"/>
  <c r="N421" i="3" s="1"/>
  <c r="L421" i="3" l="1"/>
  <c r="P422" i="3"/>
  <c r="Q422" i="3" s="1"/>
  <c r="R422" i="3" s="1"/>
  <c r="S422" i="3" s="1"/>
  <c r="AC422" i="3"/>
  <c r="AA422" i="3"/>
  <c r="AD422" i="3"/>
  <c r="Z422" i="3"/>
  <c r="W421" i="3"/>
  <c r="T422" i="3" l="1"/>
  <c r="AH422" i="3" s="1"/>
  <c r="U421" i="3"/>
  <c r="Y420" i="3"/>
  <c r="D422" i="3" l="1"/>
  <c r="G422" i="3" s="1"/>
  <c r="AG422" i="3"/>
  <c r="E422" i="3"/>
  <c r="H422" i="3" s="1"/>
  <c r="K422" i="3" l="1"/>
  <c r="AE422" i="3" s="1"/>
  <c r="I422" i="3"/>
  <c r="J422" i="3"/>
  <c r="M422" i="3"/>
  <c r="N422" i="3" s="1"/>
  <c r="F422" i="3"/>
  <c r="L422" i="3" l="1"/>
  <c r="V422" i="3"/>
  <c r="W422" i="3" s="1"/>
  <c r="A423" i="3"/>
  <c r="B423" i="3" s="1"/>
  <c r="AD423" i="3" l="1"/>
  <c r="P423" i="3"/>
  <c r="Q423" i="3" s="1"/>
  <c r="R423" i="3" s="1"/>
  <c r="S423" i="3" s="1"/>
  <c r="AA423" i="3"/>
  <c r="Z423" i="3"/>
  <c r="AC423" i="3"/>
  <c r="U422" i="3"/>
  <c r="Y421" i="3"/>
  <c r="T423" i="3" l="1"/>
  <c r="D423" i="3" s="1"/>
  <c r="E423" i="3" l="1"/>
  <c r="H423" i="3" s="1"/>
  <c r="K423" i="3" s="1"/>
  <c r="AE423" i="3" s="1"/>
  <c r="AH423" i="3"/>
  <c r="AG423" i="3"/>
  <c r="G423" i="3"/>
  <c r="F423" i="3" l="1"/>
  <c r="I423" i="3"/>
  <c r="J423" i="3"/>
  <c r="M423" i="3"/>
  <c r="N423" i="3" s="1"/>
  <c r="V423" i="3"/>
  <c r="A424" i="3"/>
  <c r="B424" i="3" s="1"/>
  <c r="W423" i="3" l="1"/>
  <c r="Z424" i="3"/>
  <c r="AC424" i="3"/>
  <c r="P424" i="3"/>
  <c r="Q424" i="3" s="1"/>
  <c r="R424" i="3" s="1"/>
  <c r="S424" i="3" s="1"/>
  <c r="AA424" i="3"/>
  <c r="L423" i="3"/>
  <c r="U423" i="3" l="1"/>
  <c r="Y422" i="3"/>
  <c r="T424" i="3"/>
  <c r="E424" i="3" l="1"/>
  <c r="H424" i="3" s="1"/>
  <c r="K424" i="3" s="1"/>
  <c r="AE424" i="3" s="1"/>
  <c r="D424" i="3"/>
  <c r="AG424" i="3"/>
  <c r="AH424" i="3"/>
  <c r="F424" i="3" l="1"/>
  <c r="G424" i="3"/>
  <c r="I424" i="3" s="1"/>
  <c r="V424" i="3"/>
  <c r="A425" i="3"/>
  <c r="B425" i="3" s="1"/>
  <c r="W424" i="3" l="1"/>
  <c r="M424" i="3"/>
  <c r="N424" i="3" s="1"/>
  <c r="J424" i="3"/>
  <c r="AC425" i="3"/>
  <c r="AD425" i="3"/>
  <c r="Z425" i="3"/>
  <c r="P425" i="3"/>
  <c r="Q425" i="3" s="1"/>
  <c r="R425" i="3" s="1"/>
  <c r="S425" i="3" s="1"/>
  <c r="AA425" i="3"/>
  <c r="L424" i="3" l="1"/>
  <c r="AD424" i="3"/>
  <c r="T425" i="3"/>
  <c r="AH425" i="3" s="1"/>
  <c r="U424" i="3"/>
  <c r="Y423" i="3"/>
  <c r="AG425" i="3" l="1"/>
  <c r="E425" i="3"/>
  <c r="H425" i="3" s="1"/>
  <c r="K425" i="3" s="1"/>
  <c r="AE425" i="3" s="1"/>
  <c r="D425" i="3"/>
  <c r="G425" i="3" s="1"/>
  <c r="F425" i="3" l="1"/>
  <c r="V425" i="3"/>
  <c r="A426" i="3"/>
  <c r="B426" i="3" s="1"/>
  <c r="I425" i="3"/>
  <c r="J425" i="3"/>
  <c r="M425" i="3"/>
  <c r="N425" i="3" s="1"/>
  <c r="P426" i="3" l="1"/>
  <c r="Q426" i="3" s="1"/>
  <c r="R426" i="3" s="1"/>
  <c r="S426" i="3" s="1"/>
  <c r="AC426" i="3"/>
  <c r="AA426" i="3"/>
  <c r="AD426" i="3"/>
  <c r="Z426" i="3"/>
  <c r="L425" i="3"/>
  <c r="W425" i="3"/>
  <c r="U425" i="3" l="1"/>
  <c r="Y424" i="3"/>
  <c r="T426" i="3"/>
  <c r="AH426" i="3" s="1"/>
  <c r="D426" i="3" l="1"/>
  <c r="AG426" i="3"/>
  <c r="E426" i="3"/>
  <c r="H426" i="3" s="1"/>
  <c r="K426" i="3" l="1"/>
  <c r="AE426" i="3" s="1"/>
  <c r="F426" i="3"/>
  <c r="G426" i="3"/>
  <c r="V426" i="3" l="1"/>
  <c r="A427" i="3"/>
  <c r="B427" i="3" s="1"/>
  <c r="I426" i="3"/>
  <c r="J426" i="3"/>
  <c r="M426" i="3"/>
  <c r="N426" i="3" s="1"/>
  <c r="L426" i="3" l="1"/>
  <c r="Z427" i="3"/>
  <c r="AA427" i="3"/>
  <c r="P427" i="3"/>
  <c r="Q427" i="3" s="1"/>
  <c r="R427" i="3" s="1"/>
  <c r="S427" i="3" s="1"/>
  <c r="AD427" i="3"/>
  <c r="AC427" i="3"/>
  <c r="W426" i="3"/>
  <c r="T427" i="3" l="1"/>
  <c r="AH427" i="3" s="1"/>
  <c r="U426" i="3"/>
  <c r="Y425" i="3"/>
  <c r="AG427" i="3" l="1"/>
  <c r="D427" i="3"/>
  <c r="G427" i="3" s="1"/>
  <c r="E427" i="3"/>
  <c r="H427" i="3" s="1"/>
  <c r="K427" i="3" s="1"/>
  <c r="AE427" i="3" s="1"/>
  <c r="F427" i="3" l="1"/>
  <c r="I427" i="3"/>
  <c r="J427" i="3"/>
  <c r="M427" i="3"/>
  <c r="N427" i="3" s="1"/>
  <c r="V427" i="3"/>
  <c r="A428" i="3"/>
  <c r="B428" i="3" s="1"/>
  <c r="W427" i="3" l="1"/>
  <c r="AA428" i="3"/>
  <c r="AD428" i="3"/>
  <c r="P428" i="3"/>
  <c r="Q428" i="3" s="1"/>
  <c r="R428" i="3" s="1"/>
  <c r="S428" i="3" s="1"/>
  <c r="Z428" i="3"/>
  <c r="AC428" i="3"/>
  <c r="L427" i="3"/>
  <c r="T428" i="3" l="1"/>
  <c r="AH428" i="3" s="1"/>
  <c r="U427" i="3"/>
  <c r="Y426" i="3"/>
  <c r="D428" i="3" l="1"/>
  <c r="G428" i="3" s="1"/>
  <c r="E428" i="3"/>
  <c r="H428" i="3" s="1"/>
  <c r="K428" i="3" s="1"/>
  <c r="AE428" i="3" s="1"/>
  <c r="AG428" i="3"/>
  <c r="F428" i="3" l="1"/>
  <c r="V428" i="3"/>
  <c r="A429" i="3"/>
  <c r="B429" i="3" s="1"/>
  <c r="I428" i="3"/>
  <c r="J428" i="3"/>
  <c r="M428" i="3"/>
  <c r="N428" i="3" s="1"/>
  <c r="P429" i="3" l="1"/>
  <c r="Q429" i="3" s="1"/>
  <c r="R429" i="3" s="1"/>
  <c r="S429" i="3" s="1"/>
  <c r="AC429" i="3"/>
  <c r="AD429" i="3"/>
  <c r="AA429" i="3"/>
  <c r="Z429" i="3"/>
  <c r="L428" i="3"/>
  <c r="W428" i="3"/>
  <c r="U428" i="3" l="1"/>
  <c r="Y427" i="3"/>
  <c r="T429" i="3"/>
  <c r="AG429" i="3" s="1"/>
  <c r="E429" i="3" l="1"/>
  <c r="H429" i="3" s="1"/>
  <c r="K429" i="3" s="1"/>
  <c r="AE429" i="3" s="1"/>
  <c r="AH429" i="3"/>
  <c r="D429" i="3"/>
  <c r="F429" i="3" l="1"/>
  <c r="G429" i="3"/>
  <c r="I429" i="3" s="1"/>
  <c r="V429" i="3"/>
  <c r="A430" i="3"/>
  <c r="B430" i="3" s="1"/>
  <c r="M429" i="3" l="1"/>
  <c r="N429" i="3" s="1"/>
  <c r="J429" i="3"/>
  <c r="L429" i="3" s="1"/>
  <c r="P430" i="3"/>
  <c r="Q430" i="3" s="1"/>
  <c r="R430" i="3" s="1"/>
  <c r="S430" i="3" s="1"/>
  <c r="AC430" i="3"/>
  <c r="AD430" i="3"/>
  <c r="AA430" i="3"/>
  <c r="Z430" i="3"/>
  <c r="W429" i="3"/>
  <c r="T430" i="3" l="1"/>
  <c r="AH430" i="3" s="1"/>
  <c r="U429" i="3"/>
  <c r="Y428" i="3"/>
  <c r="D430" i="3" l="1"/>
  <c r="G430" i="3" s="1"/>
  <c r="E430" i="3"/>
  <c r="H430" i="3" s="1"/>
  <c r="K430" i="3" s="1"/>
  <c r="AE430" i="3" s="1"/>
  <c r="AG430" i="3"/>
  <c r="F430" i="3" l="1"/>
  <c r="V430" i="3"/>
  <c r="A431" i="3"/>
  <c r="B431" i="3" s="1"/>
  <c r="I430" i="3"/>
  <c r="J430" i="3"/>
  <c r="M430" i="3"/>
  <c r="N430" i="3" s="1"/>
  <c r="AC431" i="3" l="1"/>
  <c r="Z431" i="3"/>
  <c r="P431" i="3"/>
  <c r="Q431" i="3" s="1"/>
  <c r="R431" i="3" s="1"/>
  <c r="S431" i="3" s="1"/>
  <c r="AD431" i="3"/>
  <c r="AA431" i="3"/>
  <c r="L430" i="3"/>
  <c r="W430" i="3"/>
  <c r="T431" i="3" l="1"/>
  <c r="AG431" i="3" s="1"/>
  <c r="U430" i="3"/>
  <c r="Y429" i="3"/>
  <c r="AH431" i="3" l="1"/>
  <c r="D431" i="3"/>
  <c r="G431" i="3" s="1"/>
  <c r="E431" i="3"/>
  <c r="H431" i="3" s="1"/>
  <c r="K431" i="3" l="1"/>
  <c r="AE431" i="3" s="1"/>
  <c r="I431" i="3"/>
  <c r="J431" i="3"/>
  <c r="M431" i="3"/>
  <c r="N431" i="3" s="1"/>
  <c r="F431" i="3"/>
  <c r="L431" i="3" l="1"/>
  <c r="V431" i="3"/>
  <c r="W431" i="3" s="1"/>
  <c r="A432" i="3"/>
  <c r="B432" i="3" s="1"/>
  <c r="AC432" i="3" l="1"/>
  <c r="Z432" i="3"/>
  <c r="AD432" i="3"/>
  <c r="AA432" i="3"/>
  <c r="P432" i="3"/>
  <c r="Q432" i="3" s="1"/>
  <c r="R432" i="3" s="1"/>
  <c r="S432" i="3" s="1"/>
  <c r="U431" i="3"/>
  <c r="Y430" i="3"/>
  <c r="T432" i="3" l="1"/>
  <c r="E432" i="3" s="1"/>
  <c r="H432" i="3" s="1"/>
  <c r="AH432" i="3" l="1"/>
  <c r="D432" i="3"/>
  <c r="F432" i="3" s="1"/>
  <c r="AG432" i="3"/>
  <c r="K432" i="3"/>
  <c r="AE432" i="3" s="1"/>
  <c r="G432" i="3" l="1"/>
  <c r="I432" i="3" s="1"/>
  <c r="V432" i="3"/>
  <c r="A433" i="3"/>
  <c r="B433" i="3" s="1"/>
  <c r="M432" i="3" l="1"/>
  <c r="N432" i="3" s="1"/>
  <c r="J432" i="3"/>
  <c r="L432" i="3" s="1"/>
  <c r="W432" i="3"/>
  <c r="AA433" i="3"/>
  <c r="P433" i="3"/>
  <c r="Q433" i="3" s="1"/>
  <c r="R433" i="3" s="1"/>
  <c r="S433" i="3" s="1"/>
  <c r="AD433" i="3"/>
  <c r="AC433" i="3"/>
  <c r="Z433" i="3"/>
  <c r="T433" i="3" l="1"/>
  <c r="AG433" i="3" s="1"/>
  <c r="U432" i="3"/>
  <c r="Y431" i="3"/>
  <c r="E433" i="3" l="1"/>
  <c r="H433" i="3" s="1"/>
  <c r="K433" i="3" s="1"/>
  <c r="AE433" i="3" s="1"/>
  <c r="AH433" i="3"/>
  <c r="D433" i="3"/>
  <c r="F433" i="3" l="1"/>
  <c r="G433" i="3"/>
  <c r="V433" i="3"/>
  <c r="A434" i="3"/>
  <c r="B434" i="3" s="1"/>
  <c r="AA434" i="3" l="1"/>
  <c r="AC434" i="3"/>
  <c r="P434" i="3"/>
  <c r="Q434" i="3" s="1"/>
  <c r="R434" i="3" s="1"/>
  <c r="S434" i="3" s="1"/>
  <c r="Z434" i="3"/>
  <c r="I433" i="3"/>
  <c r="W433" i="3" s="1"/>
  <c r="J433" i="3"/>
  <c r="M433" i="3"/>
  <c r="N433" i="3" s="1"/>
  <c r="T434" i="3" l="1"/>
  <c r="L433" i="3"/>
  <c r="U433" i="3" l="1"/>
  <c r="D434" i="3" s="1"/>
  <c r="AH434" i="3"/>
  <c r="AG434" i="3"/>
  <c r="Y432" i="3"/>
  <c r="E434" i="3" l="1"/>
  <c r="H434" i="3" s="1"/>
  <c r="K434" i="3" s="1"/>
  <c r="AE434" i="3" s="1"/>
  <c r="G434" i="3"/>
  <c r="F434" i="3" l="1"/>
  <c r="I434" i="3"/>
  <c r="J434" i="3"/>
  <c r="AD434" i="3" s="1"/>
  <c r="M434" i="3"/>
  <c r="N434" i="3" s="1"/>
  <c r="V434" i="3"/>
  <c r="A435" i="3"/>
  <c r="B435" i="3" s="1"/>
  <c r="W434" i="3" l="1"/>
  <c r="P435" i="3"/>
  <c r="Q435" i="3" s="1"/>
  <c r="R435" i="3" s="1"/>
  <c r="S435" i="3" s="1"/>
  <c r="AD435" i="3"/>
  <c r="AC435" i="3"/>
  <c r="Z435" i="3"/>
  <c r="AA435" i="3"/>
  <c r="L434" i="3"/>
  <c r="T435" i="3" l="1"/>
  <c r="AH435" i="3" s="1"/>
  <c r="U434" i="3"/>
  <c r="Y433" i="3"/>
  <c r="E435" i="3" l="1"/>
  <c r="H435" i="3" s="1"/>
  <c r="K435" i="3" s="1"/>
  <c r="AE435" i="3" s="1"/>
  <c r="D435" i="3"/>
  <c r="AG435" i="3"/>
  <c r="F435" i="3" l="1"/>
  <c r="G435" i="3"/>
  <c r="J435" i="3" s="1"/>
  <c r="V435" i="3"/>
  <c r="A436" i="3"/>
  <c r="B436" i="3" s="1"/>
  <c r="M435" i="3" l="1"/>
  <c r="N435" i="3" s="1"/>
  <c r="I435" i="3"/>
  <c r="W435" i="3" s="1"/>
  <c r="L435" i="3"/>
  <c r="AA436" i="3"/>
  <c r="AD436" i="3"/>
  <c r="AC436" i="3"/>
  <c r="P436" i="3"/>
  <c r="Q436" i="3" s="1"/>
  <c r="R436" i="3" s="1"/>
  <c r="S436" i="3" s="1"/>
  <c r="Z436" i="3"/>
  <c r="T436" i="3" l="1"/>
  <c r="U435" i="3"/>
  <c r="Y434" i="3"/>
  <c r="E436" i="3" l="1"/>
  <c r="H436" i="3" s="1"/>
  <c r="K436" i="3" s="1"/>
  <c r="AE436" i="3" s="1"/>
  <c r="AH436" i="3"/>
  <c r="AG436" i="3"/>
  <c r="D436" i="3"/>
  <c r="G436" i="3" s="1"/>
  <c r="F436" i="3" l="1"/>
  <c r="V436" i="3"/>
  <c r="A437" i="3"/>
  <c r="B437" i="3" s="1"/>
  <c r="I436" i="3"/>
  <c r="J436" i="3"/>
  <c r="M436" i="3"/>
  <c r="N436" i="3" s="1"/>
  <c r="P437" i="3" l="1"/>
  <c r="Q437" i="3" s="1"/>
  <c r="R437" i="3" s="1"/>
  <c r="S437" i="3" s="1"/>
  <c r="AD437" i="3"/>
  <c r="Z437" i="3"/>
  <c r="AC437" i="3"/>
  <c r="AA437" i="3"/>
  <c r="L436" i="3"/>
  <c r="W436" i="3"/>
  <c r="T437" i="3" l="1"/>
  <c r="AH437" i="3" s="1"/>
  <c r="U436" i="3"/>
  <c r="Y435" i="3"/>
  <c r="D437" i="3" l="1"/>
  <c r="G437" i="3" s="1"/>
  <c r="AG437" i="3"/>
  <c r="E437" i="3"/>
  <c r="H437" i="3" s="1"/>
  <c r="K437" i="3" s="1"/>
  <c r="AE437" i="3" s="1"/>
  <c r="F437" i="3" l="1"/>
  <c r="I437" i="3"/>
  <c r="J437" i="3"/>
  <c r="M437" i="3"/>
  <c r="N437" i="3" s="1"/>
  <c r="V437" i="3"/>
  <c r="A438" i="3"/>
  <c r="B438" i="3" s="1"/>
  <c r="W437" i="3" l="1"/>
  <c r="AA438" i="3"/>
  <c r="AD438" i="3"/>
  <c r="Z438" i="3"/>
  <c r="AC438" i="3"/>
  <c r="P438" i="3"/>
  <c r="Q438" i="3" s="1"/>
  <c r="R438" i="3" s="1"/>
  <c r="S438" i="3" s="1"/>
  <c r="L437" i="3"/>
  <c r="T438" i="3" l="1"/>
  <c r="AH438" i="3" s="1"/>
  <c r="U437" i="3"/>
  <c r="Y436" i="3"/>
  <c r="D438" i="3" l="1"/>
  <c r="G438" i="3" s="1"/>
  <c r="AG438" i="3"/>
  <c r="E438" i="3"/>
  <c r="H438" i="3" s="1"/>
  <c r="K438" i="3" s="1"/>
  <c r="AE438" i="3" s="1"/>
  <c r="F438" i="3" l="1"/>
  <c r="I438" i="3"/>
  <c r="J438" i="3"/>
  <c r="M438" i="3"/>
  <c r="N438" i="3" s="1"/>
  <c r="V438" i="3"/>
  <c r="A439" i="3"/>
  <c r="B439" i="3" s="1"/>
  <c r="W438" i="3" l="1"/>
  <c r="P439" i="3"/>
  <c r="Q439" i="3" s="1"/>
  <c r="R439" i="3" s="1"/>
  <c r="S439" i="3" s="1"/>
  <c r="AA439" i="3"/>
  <c r="AD439" i="3"/>
  <c r="AC439" i="3"/>
  <c r="Z439" i="3"/>
  <c r="L438" i="3"/>
  <c r="T439" i="3" l="1"/>
  <c r="AG439" i="3" s="1"/>
  <c r="U438" i="3"/>
  <c r="Y437" i="3"/>
  <c r="D439" i="3" l="1"/>
  <c r="G439" i="3" s="1"/>
  <c r="E439" i="3"/>
  <c r="H439" i="3" s="1"/>
  <c r="K439" i="3" s="1"/>
  <c r="AE439" i="3" s="1"/>
  <c r="AH439" i="3"/>
  <c r="F439" i="3" l="1"/>
  <c r="I439" i="3"/>
  <c r="J439" i="3"/>
  <c r="M439" i="3"/>
  <c r="N439" i="3" s="1"/>
  <c r="V439" i="3"/>
  <c r="A440" i="3"/>
  <c r="B440" i="3" s="1"/>
  <c r="W439" i="3" l="1"/>
  <c r="AA440" i="3"/>
  <c r="AC440" i="3"/>
  <c r="AD440" i="3"/>
  <c r="Z440" i="3"/>
  <c r="P440" i="3"/>
  <c r="Q440" i="3" s="1"/>
  <c r="R440" i="3" s="1"/>
  <c r="S440" i="3" s="1"/>
  <c r="L439" i="3"/>
  <c r="T440" i="3" l="1"/>
  <c r="AG440" i="3" s="1"/>
  <c r="U439" i="3"/>
  <c r="Y438" i="3"/>
  <c r="AH440" i="3" l="1"/>
  <c r="D440" i="3"/>
  <c r="G440" i="3" s="1"/>
  <c r="E440" i="3"/>
  <c r="H440" i="3" s="1"/>
  <c r="K440" i="3" s="1"/>
  <c r="AE440" i="3" s="1"/>
  <c r="F440" i="3" l="1"/>
  <c r="V440" i="3"/>
  <c r="A441" i="3"/>
  <c r="B441" i="3" s="1"/>
  <c r="I440" i="3"/>
  <c r="J440" i="3"/>
  <c r="M440" i="3"/>
  <c r="N440" i="3" s="1"/>
  <c r="L440" i="3" l="1"/>
  <c r="P441" i="3"/>
  <c r="Q441" i="3" s="1"/>
  <c r="R441" i="3" s="1"/>
  <c r="S441" i="3" s="1"/>
  <c r="AD441" i="3"/>
  <c r="AC441" i="3"/>
  <c r="Z441" i="3"/>
  <c r="AA441" i="3"/>
  <c r="W440" i="3"/>
  <c r="T441" i="3" l="1"/>
  <c r="AG441" i="3" s="1"/>
  <c r="U440" i="3"/>
  <c r="Y439" i="3"/>
  <c r="D441" i="3" l="1"/>
  <c r="G441" i="3" s="1"/>
  <c r="AH441" i="3"/>
  <c r="E441" i="3"/>
  <c r="H441" i="3" s="1"/>
  <c r="K441" i="3" s="1"/>
  <c r="AE441" i="3" s="1"/>
  <c r="F441" i="3" l="1"/>
  <c r="V441" i="3"/>
  <c r="A442" i="3"/>
  <c r="B442" i="3" s="1"/>
  <c r="I441" i="3"/>
  <c r="J441" i="3"/>
  <c r="M441" i="3"/>
  <c r="N441" i="3" s="1"/>
  <c r="AA442" i="3" l="1"/>
  <c r="P442" i="3"/>
  <c r="Q442" i="3" s="1"/>
  <c r="R442" i="3" s="1"/>
  <c r="S442" i="3" s="1"/>
  <c r="AD442" i="3"/>
  <c r="Z442" i="3"/>
  <c r="AC442" i="3"/>
  <c r="L441" i="3"/>
  <c r="W441" i="3"/>
  <c r="T442" i="3" l="1"/>
  <c r="AG442" i="3" s="1"/>
  <c r="U441" i="3"/>
  <c r="Y440" i="3"/>
  <c r="AH442" i="3" l="1"/>
  <c r="E442" i="3"/>
  <c r="H442" i="3" s="1"/>
  <c r="K442" i="3" s="1"/>
  <c r="AE442" i="3" s="1"/>
  <c r="D442" i="3"/>
  <c r="F442" i="3" l="1"/>
  <c r="G442" i="3"/>
  <c r="I442" i="3" s="1"/>
  <c r="V442" i="3"/>
  <c r="A443" i="3"/>
  <c r="B443" i="3" s="1"/>
  <c r="M442" i="3" l="1"/>
  <c r="N442" i="3" s="1"/>
  <c r="J442" i="3"/>
  <c r="L442" i="3" s="1"/>
  <c r="Z443" i="3"/>
  <c r="P443" i="3"/>
  <c r="Q443" i="3" s="1"/>
  <c r="R443" i="3" s="1"/>
  <c r="S443" i="3" s="1"/>
  <c r="AA443" i="3"/>
  <c r="AD443" i="3"/>
  <c r="AC443" i="3"/>
  <c r="W442" i="3"/>
  <c r="T443" i="3" l="1"/>
  <c r="AH443" i="3" s="1"/>
  <c r="U442" i="3"/>
  <c r="Y441" i="3"/>
  <c r="E443" i="3" l="1"/>
  <c r="H443" i="3" s="1"/>
  <c r="K443" i="3" s="1"/>
  <c r="AE443" i="3" s="1"/>
  <c r="AG443" i="3"/>
  <c r="D443" i="3"/>
  <c r="F443" i="3" l="1"/>
  <c r="G443" i="3"/>
  <c r="I443" i="3" s="1"/>
  <c r="V443" i="3"/>
  <c r="A444" i="3"/>
  <c r="B444" i="3" s="1"/>
  <c r="M443" i="3" l="1"/>
  <c r="N443" i="3" s="1"/>
  <c r="J443" i="3"/>
  <c r="L443" i="3" s="1"/>
  <c r="Z444" i="3"/>
  <c r="P444" i="3"/>
  <c r="Q444" i="3" s="1"/>
  <c r="R444" i="3" s="1"/>
  <c r="S444" i="3" s="1"/>
  <c r="AC444" i="3"/>
  <c r="AA444" i="3"/>
  <c r="W443" i="3"/>
  <c r="T444" i="3" l="1"/>
  <c r="AG444" i="3" s="1"/>
  <c r="U443" i="3"/>
  <c r="Y442" i="3"/>
  <c r="AH444" i="3" l="1"/>
  <c r="D444" i="3"/>
  <c r="G444" i="3" s="1"/>
  <c r="E444" i="3"/>
  <c r="H444" i="3" s="1"/>
  <c r="K444" i="3" l="1"/>
  <c r="AE444" i="3" s="1"/>
  <c r="I444" i="3"/>
  <c r="J444" i="3"/>
  <c r="AD444" i="3" s="1"/>
  <c r="M444" i="3"/>
  <c r="N444" i="3" s="1"/>
  <c r="F444" i="3"/>
  <c r="L444" i="3" l="1"/>
  <c r="V444" i="3"/>
  <c r="W444" i="3" s="1"/>
  <c r="A445" i="3"/>
  <c r="B445" i="3" s="1"/>
  <c r="Z445" i="3" l="1"/>
  <c r="AC445" i="3"/>
  <c r="AA445" i="3"/>
  <c r="P445" i="3"/>
  <c r="Q445" i="3" s="1"/>
  <c r="R445" i="3" s="1"/>
  <c r="S445" i="3" s="1"/>
  <c r="AD445" i="3"/>
  <c r="U444" i="3"/>
  <c r="Y443" i="3"/>
  <c r="T445" i="3" l="1"/>
  <c r="D445" i="3" s="1"/>
  <c r="E445" i="3" l="1"/>
  <c r="H445" i="3" s="1"/>
  <c r="K445" i="3" s="1"/>
  <c r="AE445" i="3" s="1"/>
  <c r="AG445" i="3"/>
  <c r="AH445" i="3"/>
  <c r="G445" i="3"/>
  <c r="F445" i="3" l="1"/>
  <c r="I445" i="3"/>
  <c r="J445" i="3"/>
  <c r="M445" i="3"/>
  <c r="N445" i="3" s="1"/>
  <c r="V445" i="3"/>
  <c r="A446" i="3"/>
  <c r="B446" i="3" s="1"/>
  <c r="W445" i="3" l="1"/>
  <c r="Z446" i="3"/>
  <c r="AA446" i="3"/>
  <c r="AD446" i="3"/>
  <c r="AC446" i="3"/>
  <c r="P446" i="3"/>
  <c r="Q446" i="3" s="1"/>
  <c r="R446" i="3" s="1"/>
  <c r="S446" i="3" s="1"/>
  <c r="L445" i="3"/>
  <c r="T446" i="3" l="1"/>
  <c r="AH446" i="3" s="1"/>
  <c r="U445" i="3"/>
  <c r="Y444" i="3"/>
  <c r="AG446" i="3" l="1"/>
  <c r="E446" i="3"/>
  <c r="H446" i="3" s="1"/>
  <c r="K446" i="3" s="1"/>
  <c r="AE446" i="3" s="1"/>
  <c r="D446" i="3"/>
  <c r="F446" i="3" l="1"/>
  <c r="G446" i="3"/>
  <c r="I446" i="3" s="1"/>
  <c r="V446" i="3"/>
  <c r="A447" i="3"/>
  <c r="B447" i="3" s="1"/>
  <c r="M446" i="3" l="1"/>
  <c r="N446" i="3" s="1"/>
  <c r="J446" i="3"/>
  <c r="L446" i="3" s="1"/>
  <c r="AA447" i="3"/>
  <c r="AD447" i="3"/>
  <c r="Z447" i="3"/>
  <c r="AC447" i="3"/>
  <c r="P447" i="3"/>
  <c r="Q447" i="3" s="1"/>
  <c r="R447" i="3" s="1"/>
  <c r="S447" i="3" s="1"/>
  <c r="W446" i="3"/>
  <c r="T447" i="3" l="1"/>
  <c r="AG447" i="3" s="1"/>
  <c r="U446" i="3"/>
  <c r="Y445" i="3"/>
  <c r="D447" i="3" l="1"/>
  <c r="G447" i="3" s="1"/>
  <c r="AH447" i="3"/>
  <c r="E447" i="3"/>
  <c r="H447" i="3" s="1"/>
  <c r="K447" i="3" s="1"/>
  <c r="AE447" i="3" s="1"/>
  <c r="F447" i="3" l="1"/>
  <c r="V447" i="3"/>
  <c r="A448" i="3"/>
  <c r="B448" i="3" s="1"/>
  <c r="I447" i="3"/>
  <c r="J447" i="3"/>
  <c r="M447" i="3"/>
  <c r="N447" i="3" s="1"/>
  <c r="L447" i="3" l="1"/>
  <c r="P448" i="3"/>
  <c r="Q448" i="3" s="1"/>
  <c r="R448" i="3" s="1"/>
  <c r="S448" i="3" s="1"/>
  <c r="Z448" i="3"/>
  <c r="AA448" i="3"/>
  <c r="AD448" i="3"/>
  <c r="AC448" i="3"/>
  <c r="W447" i="3"/>
  <c r="T448" i="3" l="1"/>
  <c r="AG448" i="3" s="1"/>
  <c r="U447" i="3"/>
  <c r="Y446" i="3"/>
  <c r="D448" i="3" l="1"/>
  <c r="G448" i="3" s="1"/>
  <c r="AH448" i="3"/>
  <c r="E448" i="3"/>
  <c r="H448" i="3" s="1"/>
  <c r="K448" i="3" s="1"/>
  <c r="AE448" i="3" s="1"/>
  <c r="F448" i="3" l="1"/>
  <c r="V448" i="3"/>
  <c r="A449" i="3"/>
  <c r="B449" i="3" s="1"/>
  <c r="I448" i="3"/>
  <c r="J448" i="3"/>
  <c r="M448" i="3"/>
  <c r="N448" i="3" s="1"/>
  <c r="L448" i="3" l="1"/>
  <c r="AD449" i="3"/>
  <c r="AA449" i="3"/>
  <c r="Z449" i="3"/>
  <c r="P449" i="3"/>
  <c r="Q449" i="3" s="1"/>
  <c r="R449" i="3" s="1"/>
  <c r="S449" i="3" s="1"/>
  <c r="AC449" i="3"/>
  <c r="W448" i="3"/>
  <c r="T449" i="3" l="1"/>
  <c r="AH449" i="3" s="1"/>
  <c r="U448" i="3"/>
  <c r="Y447" i="3"/>
  <c r="E449" i="3" l="1"/>
  <c r="H449" i="3" s="1"/>
  <c r="K449" i="3" s="1"/>
  <c r="AE449" i="3" s="1"/>
  <c r="D449" i="3"/>
  <c r="G449" i="3" s="1"/>
  <c r="AG449" i="3"/>
  <c r="F449" i="3" l="1"/>
  <c r="I449" i="3"/>
  <c r="J449" i="3"/>
  <c r="M449" i="3"/>
  <c r="N449" i="3" s="1"/>
  <c r="V449" i="3"/>
  <c r="A450" i="3"/>
  <c r="B450" i="3" s="1"/>
  <c r="W449" i="3" l="1"/>
  <c r="Z450" i="3"/>
  <c r="AC450" i="3"/>
  <c r="AA450" i="3"/>
  <c r="AD450" i="3"/>
  <c r="P450" i="3"/>
  <c r="Q450" i="3" s="1"/>
  <c r="R450" i="3" s="1"/>
  <c r="S450" i="3" s="1"/>
  <c r="L449" i="3"/>
  <c r="T450" i="3" l="1"/>
  <c r="U449" i="3"/>
  <c r="Y448" i="3"/>
  <c r="E450" i="3" l="1"/>
  <c r="H450" i="3" s="1"/>
  <c r="K450" i="3" s="1"/>
  <c r="AE450" i="3" s="1"/>
  <c r="AH450" i="3"/>
  <c r="D450" i="3"/>
  <c r="G450" i="3" s="1"/>
  <c r="AG450" i="3"/>
  <c r="F450" i="3" l="1"/>
  <c r="I450" i="3"/>
  <c r="J450" i="3"/>
  <c r="M450" i="3"/>
  <c r="N450" i="3" s="1"/>
  <c r="V450" i="3"/>
  <c r="A451" i="3"/>
  <c r="B451" i="3" s="1"/>
  <c r="W450" i="3" l="1"/>
  <c r="P451" i="3"/>
  <c r="Q451" i="3" s="1"/>
  <c r="R451" i="3" s="1"/>
  <c r="S451" i="3" s="1"/>
  <c r="AC451" i="3"/>
  <c r="AD451" i="3"/>
  <c r="AA451" i="3"/>
  <c r="Z451" i="3"/>
  <c r="L450" i="3"/>
  <c r="U450" i="3" l="1"/>
  <c r="Y449" i="3"/>
  <c r="T451" i="3"/>
  <c r="AH451" i="3" s="1"/>
  <c r="D451" i="3" l="1"/>
  <c r="AG451" i="3"/>
  <c r="E451" i="3"/>
  <c r="H451" i="3" s="1"/>
  <c r="K451" i="3" l="1"/>
  <c r="AE451" i="3" s="1"/>
  <c r="F451" i="3"/>
  <c r="G451" i="3"/>
  <c r="I451" i="3" l="1"/>
  <c r="J451" i="3"/>
  <c r="M451" i="3"/>
  <c r="N451" i="3" s="1"/>
  <c r="V451" i="3"/>
  <c r="A452" i="3"/>
  <c r="B452" i="3" s="1"/>
  <c r="W451" i="3" l="1"/>
  <c r="AD452" i="3"/>
  <c r="AA452" i="3"/>
  <c r="AC452" i="3"/>
  <c r="Z452" i="3"/>
  <c r="P452" i="3"/>
  <c r="Q452" i="3" s="1"/>
  <c r="R452" i="3" s="1"/>
  <c r="S452" i="3" s="1"/>
  <c r="L451" i="3"/>
  <c r="T452" i="3" l="1"/>
  <c r="AH452" i="3" s="1"/>
  <c r="U451" i="3"/>
  <c r="Y450" i="3"/>
  <c r="D452" i="3" l="1"/>
  <c r="G452" i="3" s="1"/>
  <c r="AG452" i="3"/>
  <c r="E452" i="3"/>
  <c r="H452" i="3" s="1"/>
  <c r="K452" i="3" l="1"/>
  <c r="AE452" i="3" s="1"/>
  <c r="I452" i="3"/>
  <c r="J452" i="3"/>
  <c r="M452" i="3"/>
  <c r="N452" i="3" s="1"/>
  <c r="F452" i="3"/>
  <c r="L452" i="3" l="1"/>
  <c r="V452" i="3"/>
  <c r="W452" i="3" s="1"/>
  <c r="A453" i="3"/>
  <c r="B453" i="3" s="1"/>
  <c r="AA453" i="3" l="1"/>
  <c r="Z453" i="3"/>
  <c r="AD453" i="3"/>
  <c r="P453" i="3"/>
  <c r="Q453" i="3" s="1"/>
  <c r="R453" i="3" s="1"/>
  <c r="S453" i="3" s="1"/>
  <c r="AC453" i="3"/>
  <c r="U452" i="3"/>
  <c r="Y451" i="3"/>
  <c r="T453" i="3" l="1"/>
  <c r="AG453" i="3" s="1"/>
  <c r="AH453" i="3" l="1"/>
  <c r="D453" i="3"/>
  <c r="G453" i="3" s="1"/>
  <c r="E453" i="3"/>
  <c r="H453" i="3" s="1"/>
  <c r="K453" i="3" s="1"/>
  <c r="AE453" i="3" s="1"/>
  <c r="F453" i="3" l="1"/>
  <c r="V453" i="3"/>
  <c r="A454" i="3"/>
  <c r="B454" i="3" s="1"/>
  <c r="I453" i="3"/>
  <c r="J453" i="3"/>
  <c r="M453" i="3"/>
  <c r="N453" i="3" s="1"/>
  <c r="L453" i="3" l="1"/>
  <c r="Z454" i="3"/>
  <c r="AC454" i="3"/>
  <c r="P454" i="3"/>
  <c r="Q454" i="3" s="1"/>
  <c r="R454" i="3" s="1"/>
  <c r="S454" i="3" s="1"/>
  <c r="AA454" i="3"/>
  <c r="W453" i="3"/>
  <c r="T454" i="3" l="1"/>
  <c r="AG454" i="3" s="1"/>
  <c r="U453" i="3"/>
  <c r="Y452" i="3"/>
  <c r="D454" i="3" l="1"/>
  <c r="G454" i="3" s="1"/>
  <c r="AH454" i="3"/>
  <c r="E454" i="3"/>
  <c r="H454" i="3" s="1"/>
  <c r="K454" i="3" s="1"/>
  <c r="AE454" i="3" s="1"/>
  <c r="F454" i="3" l="1"/>
  <c r="V454" i="3"/>
  <c r="A455" i="3"/>
  <c r="B455" i="3" s="1"/>
  <c r="I454" i="3"/>
  <c r="J454" i="3"/>
  <c r="AD454" i="3" s="1"/>
  <c r="M454" i="3"/>
  <c r="N454" i="3" s="1"/>
  <c r="AA455" i="3" l="1"/>
  <c r="Z455" i="3"/>
  <c r="AC455" i="3"/>
  <c r="P455" i="3"/>
  <c r="Q455" i="3" s="1"/>
  <c r="R455" i="3" s="1"/>
  <c r="S455" i="3" s="1"/>
  <c r="AD455" i="3"/>
  <c r="L454" i="3"/>
  <c r="W454" i="3"/>
  <c r="T455" i="3" l="1"/>
  <c r="AH455" i="3" s="1"/>
  <c r="U454" i="3"/>
  <c r="Y453" i="3"/>
  <c r="E455" i="3" l="1"/>
  <c r="H455" i="3" s="1"/>
  <c r="K455" i="3" s="1"/>
  <c r="AE455" i="3" s="1"/>
  <c r="AG455" i="3"/>
  <c r="D455" i="3"/>
  <c r="G455" i="3" s="1"/>
  <c r="F455" i="3" l="1"/>
  <c r="I455" i="3"/>
  <c r="J455" i="3"/>
  <c r="M455" i="3"/>
  <c r="N455" i="3" s="1"/>
  <c r="V455" i="3"/>
  <c r="A456" i="3"/>
  <c r="B456" i="3" s="1"/>
  <c r="W455" i="3" l="1"/>
  <c r="AA456" i="3"/>
  <c r="AC456" i="3"/>
  <c r="AD456" i="3"/>
  <c r="Z456" i="3"/>
  <c r="P456" i="3"/>
  <c r="Q456" i="3" s="1"/>
  <c r="R456" i="3" s="1"/>
  <c r="S456" i="3" s="1"/>
  <c r="L455" i="3"/>
  <c r="T456" i="3" l="1"/>
  <c r="AG456" i="3" s="1"/>
  <c r="U455" i="3"/>
  <c r="Y454" i="3"/>
  <c r="AH456" i="3" l="1"/>
  <c r="D456" i="3"/>
  <c r="G456" i="3" s="1"/>
  <c r="E456" i="3"/>
  <c r="H456" i="3" s="1"/>
  <c r="K456" i="3" s="1"/>
  <c r="AE456" i="3" s="1"/>
  <c r="F456" i="3" l="1"/>
  <c r="V456" i="3"/>
  <c r="A457" i="3"/>
  <c r="B457" i="3" s="1"/>
  <c r="I456" i="3"/>
  <c r="J456" i="3"/>
  <c r="M456" i="3"/>
  <c r="N456" i="3" s="1"/>
  <c r="AD457" i="3" l="1"/>
  <c r="AA457" i="3"/>
  <c r="AC457" i="3"/>
  <c r="P457" i="3"/>
  <c r="Q457" i="3" s="1"/>
  <c r="R457" i="3" s="1"/>
  <c r="S457" i="3" s="1"/>
  <c r="Z457" i="3"/>
  <c r="L456" i="3"/>
  <c r="W456" i="3"/>
  <c r="T457" i="3" l="1"/>
  <c r="AH457" i="3" s="1"/>
  <c r="U456" i="3"/>
  <c r="Y455" i="3"/>
  <c r="E457" i="3" l="1"/>
  <c r="H457" i="3" s="1"/>
  <c r="K457" i="3" s="1"/>
  <c r="AE457" i="3" s="1"/>
  <c r="D457" i="3"/>
  <c r="AG457" i="3"/>
  <c r="F457" i="3" l="1"/>
  <c r="G457" i="3"/>
  <c r="I457" i="3" s="1"/>
  <c r="V457" i="3"/>
  <c r="A458" i="3"/>
  <c r="B458" i="3" s="1"/>
  <c r="J457" i="3" l="1"/>
  <c r="L457" i="3" s="1"/>
  <c r="M457" i="3"/>
  <c r="N457" i="3" s="1"/>
  <c r="AA458" i="3"/>
  <c r="P458" i="3"/>
  <c r="Q458" i="3" s="1"/>
  <c r="R458" i="3" s="1"/>
  <c r="S458" i="3" s="1"/>
  <c r="Z458" i="3"/>
  <c r="AD458" i="3"/>
  <c r="AC458" i="3"/>
  <c r="W457" i="3"/>
  <c r="T458" i="3" l="1"/>
  <c r="AH458" i="3" s="1"/>
  <c r="U457" i="3"/>
  <c r="Y456" i="3"/>
  <c r="E458" i="3" l="1"/>
  <c r="H458" i="3" s="1"/>
  <c r="K458" i="3" s="1"/>
  <c r="AE458" i="3" s="1"/>
  <c r="AG458" i="3"/>
  <c r="D458" i="3"/>
  <c r="F458" i="3" l="1"/>
  <c r="G458" i="3"/>
  <c r="V458" i="3"/>
  <c r="A459" i="3"/>
  <c r="B459" i="3" s="1"/>
  <c r="AA459" i="3" l="1"/>
  <c r="AD459" i="3"/>
  <c r="AC459" i="3"/>
  <c r="P459" i="3"/>
  <c r="Q459" i="3" s="1"/>
  <c r="R459" i="3" s="1"/>
  <c r="S459" i="3" s="1"/>
  <c r="Z459" i="3"/>
  <c r="I458" i="3"/>
  <c r="W458" i="3" s="1"/>
  <c r="J458" i="3"/>
  <c r="M458" i="3"/>
  <c r="N458" i="3" s="1"/>
  <c r="T459" i="3" l="1"/>
  <c r="L458" i="3"/>
  <c r="AG459" i="3" l="1"/>
  <c r="AH459" i="3"/>
  <c r="U458" i="3"/>
  <c r="D459" i="3" s="1"/>
  <c r="Y457" i="3"/>
  <c r="E459" i="3" l="1"/>
  <c r="H459" i="3" s="1"/>
  <c r="K459" i="3" s="1"/>
  <c r="AE459" i="3" s="1"/>
  <c r="G459" i="3"/>
  <c r="F459" i="3" l="1"/>
  <c r="V459" i="3"/>
  <c r="A460" i="3"/>
  <c r="B460" i="3" s="1"/>
  <c r="I459" i="3"/>
  <c r="J459" i="3"/>
  <c r="M459" i="3"/>
  <c r="N459" i="3" s="1"/>
  <c r="W459" i="3" l="1"/>
  <c r="L459" i="3"/>
  <c r="AD460" i="3"/>
  <c r="AC460" i="3"/>
  <c r="Z460" i="3"/>
  <c r="AA460" i="3"/>
  <c r="P460" i="3"/>
  <c r="Q460" i="3" s="1"/>
  <c r="R460" i="3" s="1"/>
  <c r="S460" i="3" s="1"/>
  <c r="U459" i="3" l="1"/>
  <c r="Y458" i="3"/>
  <c r="T460" i="3"/>
  <c r="AG460" i="3" s="1"/>
  <c r="E460" i="3" l="1"/>
  <c r="H460" i="3" s="1"/>
  <c r="K460" i="3" s="1"/>
  <c r="AE460" i="3" s="1"/>
  <c r="AH460" i="3"/>
  <c r="D460" i="3"/>
  <c r="F460" i="3" l="1"/>
  <c r="G460" i="3"/>
  <c r="I460" i="3" s="1"/>
  <c r="V460" i="3"/>
  <c r="A461" i="3"/>
  <c r="B461" i="3" s="1"/>
  <c r="M460" i="3" l="1"/>
  <c r="N460" i="3" s="1"/>
  <c r="J460" i="3"/>
  <c r="L460" i="3" s="1"/>
  <c r="W460" i="3"/>
  <c r="Z461" i="3"/>
  <c r="P461" i="3"/>
  <c r="Q461" i="3" s="1"/>
  <c r="R461" i="3" s="1"/>
  <c r="S461" i="3" s="1"/>
  <c r="AC461" i="3"/>
  <c r="AD461" i="3"/>
  <c r="AA461" i="3"/>
  <c r="T461" i="3" l="1"/>
  <c r="AH461" i="3" s="1"/>
  <c r="U460" i="3"/>
  <c r="Y459" i="3"/>
  <c r="E461" i="3" l="1"/>
  <c r="H461" i="3" s="1"/>
  <c r="K461" i="3" s="1"/>
  <c r="AE461" i="3" s="1"/>
  <c r="D461" i="3"/>
  <c r="AG461" i="3"/>
  <c r="F461" i="3" l="1"/>
  <c r="G461" i="3"/>
  <c r="I461" i="3" s="1"/>
  <c r="V461" i="3"/>
  <c r="A462" i="3"/>
  <c r="B462" i="3" s="1"/>
  <c r="M461" i="3" l="1"/>
  <c r="N461" i="3" s="1"/>
  <c r="J461" i="3"/>
  <c r="L461" i="3" s="1"/>
  <c r="W461" i="3"/>
  <c r="AA462" i="3"/>
  <c r="AC462" i="3"/>
  <c r="AD462" i="3"/>
  <c r="Z462" i="3"/>
  <c r="P462" i="3"/>
  <c r="Q462" i="3" s="1"/>
  <c r="R462" i="3" s="1"/>
  <c r="S462" i="3" s="1"/>
  <c r="T462" i="3" l="1"/>
  <c r="AH462" i="3" s="1"/>
  <c r="U461" i="3"/>
  <c r="Y460" i="3"/>
  <c r="AG462" i="3" l="1"/>
  <c r="E462" i="3"/>
  <c r="H462" i="3" s="1"/>
  <c r="K462" i="3" s="1"/>
  <c r="AE462" i="3" s="1"/>
  <c r="D462" i="3"/>
  <c r="G462" i="3" s="1"/>
  <c r="F462" i="3" l="1"/>
  <c r="I462" i="3"/>
  <c r="J462" i="3"/>
  <c r="M462" i="3"/>
  <c r="N462" i="3" s="1"/>
  <c r="V462" i="3"/>
  <c r="A463" i="3"/>
  <c r="B463" i="3" s="1"/>
  <c r="W462" i="3" l="1"/>
  <c r="AC463" i="3"/>
  <c r="Z463" i="3"/>
  <c r="P463" i="3"/>
  <c r="Q463" i="3" s="1"/>
  <c r="R463" i="3" s="1"/>
  <c r="S463" i="3" s="1"/>
  <c r="AA463" i="3"/>
  <c r="AD463" i="3"/>
  <c r="L462" i="3"/>
  <c r="T463" i="3" l="1"/>
  <c r="AH463" i="3" s="1"/>
  <c r="U462" i="3"/>
  <c r="Y461" i="3"/>
  <c r="D463" i="3" l="1"/>
  <c r="G463" i="3" s="1"/>
  <c r="E463" i="3"/>
  <c r="H463" i="3" s="1"/>
  <c r="K463" i="3" s="1"/>
  <c r="AE463" i="3" s="1"/>
  <c r="AG463" i="3"/>
  <c r="F463" i="3" l="1"/>
  <c r="V463" i="3"/>
  <c r="A464" i="3"/>
  <c r="B464" i="3" s="1"/>
  <c r="I463" i="3"/>
  <c r="J463" i="3"/>
  <c r="M463" i="3"/>
  <c r="N463" i="3" s="1"/>
  <c r="AA464" i="3" l="1"/>
  <c r="P464" i="3"/>
  <c r="Q464" i="3" s="1"/>
  <c r="R464" i="3" s="1"/>
  <c r="S464" i="3" s="1"/>
  <c r="AC464" i="3"/>
  <c r="Z464" i="3"/>
  <c r="L463" i="3"/>
  <c r="W463" i="3"/>
  <c r="T464" i="3" l="1"/>
  <c r="AH464" i="3" s="1"/>
  <c r="U463" i="3"/>
  <c r="Y462" i="3"/>
  <c r="E464" i="3" l="1"/>
  <c r="H464" i="3" s="1"/>
  <c r="K464" i="3" s="1"/>
  <c r="AE464" i="3" s="1"/>
  <c r="AG464" i="3"/>
  <c r="D464" i="3"/>
  <c r="F464" i="3" l="1"/>
  <c r="G464" i="3"/>
  <c r="I464" i="3" s="1"/>
  <c r="V464" i="3"/>
  <c r="A465" i="3"/>
  <c r="B465" i="3" s="1"/>
  <c r="M464" i="3" l="1"/>
  <c r="N464" i="3" s="1"/>
  <c r="J464" i="3"/>
  <c r="AD465" i="3"/>
  <c r="AA465" i="3"/>
  <c r="Z465" i="3"/>
  <c r="AC465" i="3"/>
  <c r="P465" i="3"/>
  <c r="Q465" i="3" s="1"/>
  <c r="R465" i="3" s="1"/>
  <c r="S465" i="3" s="1"/>
  <c r="W464" i="3"/>
  <c r="L464" i="3" l="1"/>
  <c r="AD464" i="3"/>
  <c r="T465" i="3"/>
  <c r="AH465" i="3" s="1"/>
  <c r="U464" i="3"/>
  <c r="Y463" i="3"/>
  <c r="AG465" i="3" l="1"/>
  <c r="E465" i="3"/>
  <c r="H465" i="3" s="1"/>
  <c r="K465" i="3" s="1"/>
  <c r="AE465" i="3" s="1"/>
  <c r="D465" i="3"/>
  <c r="F465" i="3" l="1"/>
  <c r="G465" i="3"/>
  <c r="J465" i="3" s="1"/>
  <c r="V465" i="3"/>
  <c r="A466" i="3"/>
  <c r="B466" i="3" s="1"/>
  <c r="M465" i="3" l="1"/>
  <c r="N465" i="3" s="1"/>
  <c r="I465" i="3"/>
  <c r="W465" i="3" s="1"/>
  <c r="L465" i="3"/>
  <c r="Z466" i="3"/>
  <c r="AA466" i="3"/>
  <c r="P466" i="3"/>
  <c r="Q466" i="3" s="1"/>
  <c r="R466" i="3" s="1"/>
  <c r="S466" i="3" s="1"/>
  <c r="AD466" i="3"/>
  <c r="AC466" i="3"/>
  <c r="T466" i="3" l="1"/>
  <c r="AH466" i="3" s="1"/>
  <c r="U465" i="3"/>
  <c r="Y464" i="3"/>
  <c r="E466" i="3" l="1"/>
  <c r="H466" i="3" s="1"/>
  <c r="K466" i="3" s="1"/>
  <c r="AE466" i="3" s="1"/>
  <c r="AG466" i="3"/>
  <c r="D466" i="3"/>
  <c r="F466" i="3" l="1"/>
  <c r="G466" i="3"/>
  <c r="J466" i="3" s="1"/>
  <c r="V466" i="3"/>
  <c r="A467" i="3"/>
  <c r="B467" i="3" s="1"/>
  <c r="M466" i="3" l="1"/>
  <c r="N466" i="3" s="1"/>
  <c r="I466" i="3"/>
  <c r="W466" i="3" s="1"/>
  <c r="L466" i="3"/>
  <c r="AA467" i="3"/>
  <c r="AD467" i="3"/>
  <c r="Z467" i="3"/>
  <c r="P467" i="3"/>
  <c r="Q467" i="3" s="1"/>
  <c r="R467" i="3" s="1"/>
  <c r="S467" i="3" s="1"/>
  <c r="AC467" i="3"/>
  <c r="T467" i="3" l="1"/>
  <c r="AH467" i="3" s="1"/>
  <c r="U466" i="3"/>
  <c r="Y465" i="3"/>
  <c r="D467" i="3" l="1"/>
  <c r="G467" i="3" s="1"/>
  <c r="AG467" i="3"/>
  <c r="E467" i="3"/>
  <c r="H467" i="3" s="1"/>
  <c r="K467" i="3" s="1"/>
  <c r="AE467" i="3" s="1"/>
  <c r="F467" i="3" l="1"/>
  <c r="V467" i="3"/>
  <c r="A468" i="3"/>
  <c r="B468" i="3" s="1"/>
  <c r="I467" i="3"/>
  <c r="J467" i="3"/>
  <c r="M467" i="3"/>
  <c r="N467" i="3" s="1"/>
  <c r="L467" i="3" l="1"/>
  <c r="AC468" i="3"/>
  <c r="Z468" i="3"/>
  <c r="P468" i="3"/>
  <c r="Q468" i="3" s="1"/>
  <c r="R468" i="3" s="1"/>
  <c r="S468" i="3" s="1"/>
  <c r="AA468" i="3"/>
  <c r="AD468" i="3"/>
  <c r="W467" i="3"/>
  <c r="T468" i="3" l="1"/>
  <c r="U467" i="3"/>
  <c r="Y466" i="3"/>
  <c r="D468" i="3" l="1"/>
  <c r="G468" i="3" s="1"/>
  <c r="E468" i="3"/>
  <c r="H468" i="3" s="1"/>
  <c r="K468" i="3" s="1"/>
  <c r="AE468" i="3" s="1"/>
  <c r="AG468" i="3"/>
  <c r="AH468" i="3"/>
  <c r="F468" i="3" l="1"/>
  <c r="V468" i="3"/>
  <c r="A469" i="3"/>
  <c r="B469" i="3" s="1"/>
  <c r="I468" i="3"/>
  <c r="J468" i="3"/>
  <c r="M468" i="3"/>
  <c r="N468" i="3" s="1"/>
  <c r="Z469" i="3" l="1"/>
  <c r="AD469" i="3"/>
  <c r="AA469" i="3"/>
  <c r="AC469" i="3"/>
  <c r="P469" i="3"/>
  <c r="Q469" i="3" s="1"/>
  <c r="R469" i="3" s="1"/>
  <c r="S469" i="3" s="1"/>
  <c r="L468" i="3"/>
  <c r="W468" i="3"/>
  <c r="U468" i="3" l="1"/>
  <c r="Y467" i="3"/>
  <c r="T469" i="3"/>
  <c r="AG469" i="3" s="1"/>
  <c r="E469" i="3" l="1"/>
  <c r="H469" i="3" s="1"/>
  <c r="K469" i="3" s="1"/>
  <c r="AE469" i="3" s="1"/>
  <c r="D469" i="3"/>
  <c r="AH469" i="3"/>
  <c r="F469" i="3" l="1"/>
  <c r="G469" i="3"/>
  <c r="I469" i="3" s="1"/>
  <c r="V469" i="3"/>
  <c r="A470" i="3"/>
  <c r="B470" i="3" s="1"/>
  <c r="M469" i="3" l="1"/>
  <c r="N469" i="3" s="1"/>
  <c r="J469" i="3"/>
  <c r="L469" i="3" s="1"/>
  <c r="AA470" i="3"/>
  <c r="Z470" i="3"/>
  <c r="AD470" i="3"/>
  <c r="AC470" i="3"/>
  <c r="P470" i="3"/>
  <c r="Q470" i="3" s="1"/>
  <c r="R470" i="3" s="1"/>
  <c r="S470" i="3" s="1"/>
  <c r="W469" i="3"/>
  <c r="U469" i="3" l="1"/>
  <c r="Y468" i="3"/>
  <c r="T470" i="3"/>
  <c r="E470" i="3" l="1"/>
  <c r="H470" i="3" s="1"/>
  <c r="K470" i="3" s="1"/>
  <c r="AE470" i="3" s="1"/>
  <c r="AH470" i="3"/>
  <c r="D470" i="3"/>
  <c r="AG470" i="3"/>
  <c r="F470" i="3" l="1"/>
  <c r="G470" i="3"/>
  <c r="V470" i="3"/>
  <c r="A471" i="3"/>
  <c r="B471" i="3" s="1"/>
  <c r="Z471" i="3" l="1"/>
  <c r="AA471" i="3"/>
  <c r="AD471" i="3"/>
  <c r="AC471" i="3"/>
  <c r="P471" i="3"/>
  <c r="Q471" i="3" s="1"/>
  <c r="R471" i="3" s="1"/>
  <c r="S471" i="3" s="1"/>
  <c r="I470" i="3"/>
  <c r="W470" i="3" s="1"/>
  <c r="J470" i="3"/>
  <c r="M470" i="3"/>
  <c r="N470" i="3" s="1"/>
  <c r="T471" i="3" l="1"/>
  <c r="L470" i="3"/>
  <c r="U470" i="3" l="1"/>
  <c r="E471" i="3" s="1"/>
  <c r="H471" i="3" s="1"/>
  <c r="AG471" i="3"/>
  <c r="AH471" i="3"/>
  <c r="Y469" i="3"/>
  <c r="D471" i="3" l="1"/>
  <c r="F471" i="3" s="1"/>
  <c r="K471" i="3"/>
  <c r="AE471" i="3" s="1"/>
  <c r="G471" i="3" l="1"/>
  <c r="I471" i="3" s="1"/>
  <c r="V471" i="3"/>
  <c r="A472" i="3"/>
  <c r="B472" i="3" s="1"/>
  <c r="M471" i="3" l="1"/>
  <c r="N471" i="3" s="1"/>
  <c r="J471" i="3"/>
  <c r="L471" i="3" s="1"/>
  <c r="W471" i="3"/>
  <c r="P472" i="3"/>
  <c r="Q472" i="3" s="1"/>
  <c r="R472" i="3" s="1"/>
  <c r="S472" i="3" s="1"/>
  <c r="AD472" i="3"/>
  <c r="AA472" i="3"/>
  <c r="AC472" i="3"/>
  <c r="Z472" i="3"/>
  <c r="U471" i="3" l="1"/>
  <c r="Y470" i="3"/>
  <c r="T472" i="3"/>
  <c r="AH472" i="3" s="1"/>
  <c r="D472" i="3" l="1"/>
  <c r="E472" i="3"/>
  <c r="H472" i="3" s="1"/>
  <c r="AG472" i="3"/>
  <c r="K472" i="3" l="1"/>
  <c r="AE472" i="3" s="1"/>
  <c r="F472" i="3"/>
  <c r="G472" i="3"/>
  <c r="I472" i="3" l="1"/>
  <c r="J472" i="3"/>
  <c r="M472" i="3"/>
  <c r="N472" i="3" s="1"/>
  <c r="V472" i="3"/>
  <c r="A473" i="3"/>
  <c r="B473" i="3" s="1"/>
  <c r="W472" i="3" l="1"/>
  <c r="Z473" i="3"/>
  <c r="AA473" i="3"/>
  <c r="AD473" i="3"/>
  <c r="AC473" i="3"/>
  <c r="P473" i="3"/>
  <c r="Q473" i="3" s="1"/>
  <c r="R473" i="3" s="1"/>
  <c r="S473" i="3" s="1"/>
  <c r="L472" i="3"/>
  <c r="T473" i="3" l="1"/>
  <c r="AH473" i="3" s="1"/>
  <c r="U472" i="3"/>
  <c r="Y471" i="3"/>
  <c r="D473" i="3" l="1"/>
  <c r="G473" i="3" s="1"/>
  <c r="AG473" i="3"/>
  <c r="E473" i="3"/>
  <c r="H473" i="3" s="1"/>
  <c r="K473" i="3" l="1"/>
  <c r="AE473" i="3" s="1"/>
  <c r="I473" i="3"/>
  <c r="J473" i="3"/>
  <c r="M473" i="3"/>
  <c r="N473" i="3" s="1"/>
  <c r="F473" i="3"/>
  <c r="L473" i="3" l="1"/>
  <c r="V473" i="3"/>
  <c r="W473" i="3" s="1"/>
  <c r="A474" i="3"/>
  <c r="B474" i="3" s="1"/>
  <c r="Z474" i="3" l="1"/>
  <c r="AA474" i="3"/>
  <c r="P474" i="3"/>
  <c r="Q474" i="3" s="1"/>
  <c r="R474" i="3" s="1"/>
  <c r="S474" i="3" s="1"/>
  <c r="AC474" i="3"/>
  <c r="U473" i="3"/>
  <c r="Y472" i="3"/>
  <c r="T474" i="3" l="1"/>
  <c r="AH474" i="3" s="1"/>
  <c r="D474" i="3" l="1"/>
  <c r="E474" i="3"/>
  <c r="H474" i="3" s="1"/>
  <c r="AG474" i="3"/>
  <c r="K474" i="3" l="1"/>
  <c r="AE474" i="3" s="1"/>
  <c r="F474" i="3"/>
  <c r="G474" i="3"/>
  <c r="I474" i="3" l="1"/>
  <c r="J474" i="3"/>
  <c r="AD474" i="3" s="1"/>
  <c r="M474" i="3"/>
  <c r="N474" i="3" s="1"/>
  <c r="V474" i="3"/>
  <c r="A475" i="3"/>
  <c r="B475" i="3" s="1"/>
  <c r="W474" i="3" l="1"/>
  <c r="P475" i="3"/>
  <c r="Q475" i="3" s="1"/>
  <c r="R475" i="3" s="1"/>
  <c r="S475" i="3" s="1"/>
  <c r="AC475" i="3"/>
  <c r="AD475" i="3"/>
  <c r="AA475" i="3"/>
  <c r="Z475" i="3"/>
  <c r="L474" i="3"/>
  <c r="U474" i="3" l="1"/>
  <c r="Y473" i="3"/>
  <c r="T475" i="3"/>
  <c r="D475" i="3" l="1"/>
  <c r="G475" i="3" s="1"/>
  <c r="AH475" i="3"/>
  <c r="AG475" i="3"/>
  <c r="E475" i="3"/>
  <c r="H475" i="3" s="1"/>
  <c r="K475" i="3" l="1"/>
  <c r="AE475" i="3" s="1"/>
  <c r="I475" i="3"/>
  <c r="J475" i="3"/>
  <c r="M475" i="3"/>
  <c r="N475" i="3" s="1"/>
  <c r="F475" i="3"/>
  <c r="L475" i="3" l="1"/>
  <c r="V475" i="3"/>
  <c r="W475" i="3" s="1"/>
  <c r="A476" i="3"/>
  <c r="B476" i="3" s="1"/>
  <c r="AA476" i="3" l="1"/>
  <c r="AD476" i="3"/>
  <c r="AC476" i="3"/>
  <c r="P476" i="3"/>
  <c r="Q476" i="3" s="1"/>
  <c r="R476" i="3" s="1"/>
  <c r="S476" i="3" s="1"/>
  <c r="Z476" i="3"/>
  <c r="U475" i="3"/>
  <c r="Y474" i="3"/>
  <c r="T476" i="3" l="1"/>
  <c r="E476" i="3" s="1"/>
  <c r="H476" i="3" s="1"/>
  <c r="D476" i="3" l="1"/>
  <c r="F476" i="3" s="1"/>
  <c r="AG476" i="3"/>
  <c r="AH476" i="3"/>
  <c r="K476" i="3"/>
  <c r="AE476" i="3" s="1"/>
  <c r="G476" i="3" l="1"/>
  <c r="I476" i="3" s="1"/>
  <c r="V476" i="3"/>
  <c r="A477" i="3"/>
  <c r="B477" i="3" s="1"/>
  <c r="M476" i="3" l="1"/>
  <c r="N476" i="3" s="1"/>
  <c r="J476" i="3"/>
  <c r="L476" i="3" s="1"/>
  <c r="W476" i="3"/>
  <c r="AA477" i="3"/>
  <c r="AD477" i="3"/>
  <c r="AC477" i="3"/>
  <c r="P477" i="3"/>
  <c r="Q477" i="3" s="1"/>
  <c r="R477" i="3" s="1"/>
  <c r="S477" i="3" s="1"/>
  <c r="Z477" i="3"/>
  <c r="T477" i="3" l="1"/>
  <c r="AG477" i="3" s="1"/>
  <c r="U476" i="3"/>
  <c r="Y475" i="3"/>
  <c r="D477" i="3" l="1"/>
  <c r="G477" i="3" s="1"/>
  <c r="AH477" i="3"/>
  <c r="E477" i="3"/>
  <c r="H477" i="3" s="1"/>
  <c r="K477" i="3" s="1"/>
  <c r="AE477" i="3" s="1"/>
  <c r="F477" i="3" l="1"/>
  <c r="V477" i="3"/>
  <c r="A478" i="3"/>
  <c r="B478" i="3" s="1"/>
  <c r="I477" i="3"/>
  <c r="J477" i="3"/>
  <c r="M477" i="3"/>
  <c r="N477" i="3" s="1"/>
  <c r="L477" i="3" l="1"/>
  <c r="AC478" i="3"/>
  <c r="Z478" i="3"/>
  <c r="AA478" i="3"/>
  <c r="AD478" i="3"/>
  <c r="P478" i="3"/>
  <c r="Q478" i="3" s="1"/>
  <c r="R478" i="3" s="1"/>
  <c r="S478" i="3" s="1"/>
  <c r="W477" i="3"/>
  <c r="T478" i="3" l="1"/>
  <c r="AH478" i="3" s="1"/>
  <c r="U477" i="3"/>
  <c r="Y476" i="3"/>
  <c r="AG478" i="3" l="1"/>
  <c r="D478" i="3"/>
  <c r="G478" i="3" s="1"/>
  <c r="E478" i="3"/>
  <c r="H478" i="3" s="1"/>
  <c r="K478" i="3" s="1"/>
  <c r="AE478" i="3" s="1"/>
  <c r="F478" i="3" l="1"/>
  <c r="V478" i="3"/>
  <c r="A479" i="3"/>
  <c r="B479" i="3" s="1"/>
  <c r="I478" i="3"/>
  <c r="J478" i="3"/>
  <c r="M478" i="3"/>
  <c r="N478" i="3" s="1"/>
  <c r="AD479" i="3" l="1"/>
  <c r="P479" i="3"/>
  <c r="Q479" i="3" s="1"/>
  <c r="R479" i="3" s="1"/>
  <c r="S479" i="3" s="1"/>
  <c r="AA479" i="3"/>
  <c r="Z479" i="3"/>
  <c r="AC479" i="3"/>
  <c r="L478" i="3"/>
  <c r="W478" i="3"/>
  <c r="T479" i="3" l="1"/>
  <c r="AG479" i="3" s="1"/>
  <c r="U478" i="3"/>
  <c r="Y477" i="3"/>
  <c r="AH479" i="3" l="1"/>
  <c r="D479" i="3"/>
  <c r="G479" i="3" s="1"/>
  <c r="E479" i="3"/>
  <c r="H479" i="3" s="1"/>
  <c r="K479" i="3" s="1"/>
  <c r="AE479" i="3" s="1"/>
  <c r="F479" i="3" l="1"/>
  <c r="V479" i="3"/>
  <c r="A480" i="3"/>
  <c r="B480" i="3" s="1"/>
  <c r="I479" i="3"/>
  <c r="J479" i="3"/>
  <c r="M479" i="3"/>
  <c r="N479" i="3" s="1"/>
  <c r="P480" i="3" l="1"/>
  <c r="Q480" i="3" s="1"/>
  <c r="R480" i="3" s="1"/>
  <c r="S480" i="3" s="1"/>
  <c r="AA480" i="3"/>
  <c r="AC480" i="3"/>
  <c r="AD480" i="3"/>
  <c r="Z480" i="3"/>
  <c r="L479" i="3"/>
  <c r="W479" i="3"/>
  <c r="U479" i="3" l="1"/>
  <c r="Y478" i="3"/>
  <c r="T480" i="3"/>
  <c r="AH480" i="3" s="1"/>
  <c r="D480" i="3" l="1"/>
  <c r="AG480" i="3"/>
  <c r="E480" i="3"/>
  <c r="H480" i="3" s="1"/>
  <c r="K480" i="3" l="1"/>
  <c r="AE480" i="3" s="1"/>
  <c r="F480" i="3"/>
  <c r="G480" i="3"/>
  <c r="I480" i="3" l="1"/>
  <c r="J480" i="3"/>
  <c r="M480" i="3"/>
  <c r="N480" i="3" s="1"/>
  <c r="V480" i="3"/>
  <c r="A481" i="3"/>
  <c r="B481" i="3" s="1"/>
  <c r="W480" i="3" l="1"/>
  <c r="AA481" i="3"/>
  <c r="AD481" i="3"/>
  <c r="Z481" i="3"/>
  <c r="AC481" i="3"/>
  <c r="P481" i="3"/>
  <c r="Q481" i="3" s="1"/>
  <c r="R481" i="3" s="1"/>
  <c r="S481" i="3" s="1"/>
  <c r="L480" i="3"/>
  <c r="U480" i="3" l="1"/>
  <c r="Y479" i="3"/>
  <c r="T481" i="3"/>
  <c r="E481" i="3" l="1"/>
  <c r="H481" i="3" s="1"/>
  <c r="K481" i="3" s="1"/>
  <c r="AE481" i="3" s="1"/>
  <c r="AG481" i="3"/>
  <c r="D481" i="3"/>
  <c r="AH481" i="3"/>
  <c r="F481" i="3" l="1"/>
  <c r="G481" i="3"/>
  <c r="I481" i="3" s="1"/>
  <c r="V481" i="3"/>
  <c r="A482" i="3"/>
  <c r="B482" i="3" s="1"/>
  <c r="W481" i="3" l="1"/>
  <c r="J481" i="3"/>
  <c r="L481" i="3" s="1"/>
  <c r="M481" i="3"/>
  <c r="N481" i="3" s="1"/>
  <c r="Z482" i="3"/>
  <c r="AD482" i="3"/>
  <c r="AC482" i="3"/>
  <c r="AA482" i="3"/>
  <c r="P482" i="3"/>
  <c r="Q482" i="3" s="1"/>
  <c r="R482" i="3" s="1"/>
  <c r="S482" i="3" s="1"/>
  <c r="T482" i="3" l="1"/>
  <c r="AG482" i="3" s="1"/>
  <c r="U481" i="3"/>
  <c r="Y480" i="3"/>
  <c r="D482" i="3" l="1"/>
  <c r="G482" i="3" s="1"/>
  <c r="E482" i="3"/>
  <c r="H482" i="3" s="1"/>
  <c r="K482" i="3" s="1"/>
  <c r="AE482" i="3" s="1"/>
  <c r="AH482" i="3"/>
  <c r="F482" i="3" l="1"/>
  <c r="I482" i="3"/>
  <c r="J482" i="3"/>
  <c r="M482" i="3"/>
  <c r="N482" i="3" s="1"/>
  <c r="V482" i="3"/>
  <c r="A483" i="3"/>
  <c r="B483" i="3" s="1"/>
  <c r="W482" i="3" l="1"/>
  <c r="L482" i="3"/>
  <c r="AA483" i="3"/>
  <c r="P483" i="3"/>
  <c r="Q483" i="3" s="1"/>
  <c r="R483" i="3" s="1"/>
  <c r="S483" i="3" s="1"/>
  <c r="AC483" i="3"/>
  <c r="AD483" i="3"/>
  <c r="Z483" i="3"/>
  <c r="T483" i="3" l="1"/>
  <c r="AG483" i="3" s="1"/>
  <c r="U482" i="3"/>
  <c r="Y481" i="3"/>
  <c r="AH483" i="3" l="1"/>
  <c r="D483" i="3"/>
  <c r="G483" i="3" s="1"/>
  <c r="E483" i="3"/>
  <c r="H483" i="3" s="1"/>
  <c r="K483" i="3" l="1"/>
  <c r="AE483" i="3" s="1"/>
  <c r="I483" i="3"/>
  <c r="J483" i="3"/>
  <c r="M483" i="3"/>
  <c r="N483" i="3" s="1"/>
  <c r="F483" i="3"/>
  <c r="V483" i="3" l="1"/>
  <c r="W483" i="3" s="1"/>
  <c r="A484" i="3"/>
  <c r="B484" i="3" s="1"/>
  <c r="L483" i="3"/>
  <c r="Z484" i="3" l="1"/>
  <c r="AC484" i="3"/>
  <c r="AA484" i="3"/>
  <c r="P484" i="3"/>
  <c r="Q484" i="3" s="1"/>
  <c r="R484" i="3" s="1"/>
  <c r="S484" i="3" s="1"/>
  <c r="U483" i="3"/>
  <c r="Y482" i="3"/>
  <c r="T484" i="3" l="1"/>
  <c r="AG484" i="3" s="1"/>
  <c r="E484" i="3" l="1"/>
  <c r="H484" i="3" s="1"/>
  <c r="K484" i="3" s="1"/>
  <c r="AE484" i="3" s="1"/>
  <c r="AH484" i="3"/>
  <c r="D484" i="3"/>
  <c r="F484" i="3" l="1"/>
  <c r="G484" i="3"/>
  <c r="V484" i="3"/>
  <c r="A485" i="3"/>
  <c r="B485" i="3" s="1"/>
  <c r="AC485" i="3" l="1"/>
  <c r="Z485" i="3"/>
  <c r="P485" i="3"/>
  <c r="Q485" i="3" s="1"/>
  <c r="R485" i="3" s="1"/>
  <c r="S485" i="3" s="1"/>
  <c r="AD485" i="3"/>
  <c r="AA485" i="3"/>
  <c r="I484" i="3"/>
  <c r="W484" i="3" s="1"/>
  <c r="J484" i="3"/>
  <c r="AD484" i="3" s="1"/>
  <c r="M484" i="3"/>
  <c r="N484" i="3" s="1"/>
  <c r="T485" i="3" l="1"/>
  <c r="L484" i="3"/>
  <c r="AH485" i="3" l="1"/>
  <c r="U484" i="3"/>
  <c r="D485" i="3" s="1"/>
  <c r="AG485" i="3"/>
  <c r="Y483" i="3"/>
  <c r="E485" i="3" l="1"/>
  <c r="H485" i="3" s="1"/>
  <c r="K485" i="3" s="1"/>
  <c r="AE485" i="3" s="1"/>
  <c r="G485" i="3"/>
  <c r="F485" i="3" l="1"/>
  <c r="V485" i="3"/>
  <c r="A486" i="3"/>
  <c r="B486" i="3" s="1"/>
  <c r="I485" i="3"/>
  <c r="J485" i="3"/>
  <c r="M485" i="3"/>
  <c r="N485" i="3" s="1"/>
  <c r="L485" i="3" l="1"/>
  <c r="AC486" i="3"/>
  <c r="AD486" i="3"/>
  <c r="Z486" i="3"/>
  <c r="P486" i="3"/>
  <c r="Q486" i="3" s="1"/>
  <c r="R486" i="3" s="1"/>
  <c r="S486" i="3" s="1"/>
  <c r="AA486" i="3"/>
  <c r="W485" i="3"/>
  <c r="T486" i="3" l="1"/>
  <c r="AG486" i="3" s="1"/>
  <c r="U485" i="3"/>
  <c r="Y484" i="3"/>
  <c r="D486" i="3" l="1"/>
  <c r="G486" i="3" s="1"/>
  <c r="E486" i="3"/>
  <c r="H486" i="3" s="1"/>
  <c r="K486" i="3" s="1"/>
  <c r="AE486" i="3" s="1"/>
  <c r="AH486" i="3"/>
  <c r="F486" i="3" l="1"/>
  <c r="I486" i="3"/>
  <c r="J486" i="3"/>
  <c r="M486" i="3"/>
  <c r="N486" i="3" s="1"/>
  <c r="V486" i="3"/>
  <c r="A487" i="3"/>
  <c r="B487" i="3" s="1"/>
  <c r="W486" i="3" l="1"/>
  <c r="Z487" i="3"/>
  <c r="AA487" i="3"/>
  <c r="AD487" i="3"/>
  <c r="AC487" i="3"/>
  <c r="P487" i="3"/>
  <c r="Q487" i="3" s="1"/>
  <c r="R487" i="3" s="1"/>
  <c r="S487" i="3" s="1"/>
  <c r="L486" i="3"/>
  <c r="T487" i="3" l="1"/>
  <c r="AG487" i="3" s="1"/>
  <c r="U486" i="3"/>
  <c r="Y485" i="3"/>
  <c r="AH487" i="3" l="1"/>
  <c r="D487" i="3"/>
  <c r="G487" i="3" s="1"/>
  <c r="E487" i="3"/>
  <c r="H487" i="3" s="1"/>
  <c r="K487" i="3" s="1"/>
  <c r="AE487" i="3" s="1"/>
  <c r="F487" i="3" l="1"/>
  <c r="I487" i="3"/>
  <c r="J487" i="3"/>
  <c r="M487" i="3"/>
  <c r="N487" i="3" s="1"/>
  <c r="V487" i="3"/>
  <c r="A488" i="3"/>
  <c r="B488" i="3" s="1"/>
  <c r="W487" i="3" l="1"/>
  <c r="AA488" i="3"/>
  <c r="Z488" i="3"/>
  <c r="AC488" i="3"/>
  <c r="AD488" i="3"/>
  <c r="P488" i="3"/>
  <c r="Q488" i="3" s="1"/>
  <c r="R488" i="3" s="1"/>
  <c r="S488" i="3" s="1"/>
  <c r="L487" i="3"/>
  <c r="T488" i="3" l="1"/>
  <c r="AH488" i="3" s="1"/>
  <c r="U487" i="3"/>
  <c r="Y486" i="3"/>
  <c r="E488" i="3" l="1"/>
  <c r="H488" i="3" s="1"/>
  <c r="K488" i="3" s="1"/>
  <c r="AE488" i="3" s="1"/>
  <c r="AG488" i="3"/>
  <c r="D488" i="3"/>
  <c r="F488" i="3" l="1"/>
  <c r="G488" i="3"/>
  <c r="I488" i="3" s="1"/>
  <c r="V488" i="3"/>
  <c r="A489" i="3"/>
  <c r="B489" i="3" s="1"/>
  <c r="M488" i="3" l="1"/>
  <c r="N488" i="3" s="1"/>
  <c r="J488" i="3"/>
  <c r="L488" i="3" s="1"/>
  <c r="Z489" i="3"/>
  <c r="AC489" i="3"/>
  <c r="AA489" i="3"/>
  <c r="AD489" i="3"/>
  <c r="P489" i="3"/>
  <c r="Q489" i="3" s="1"/>
  <c r="R489" i="3" s="1"/>
  <c r="S489" i="3" s="1"/>
  <c r="W488" i="3"/>
  <c r="T489" i="3" l="1"/>
  <c r="AH489" i="3" s="1"/>
  <c r="U488" i="3"/>
  <c r="Y487" i="3"/>
  <c r="AG489" i="3" l="1"/>
  <c r="E489" i="3"/>
  <c r="H489" i="3" s="1"/>
  <c r="K489" i="3" s="1"/>
  <c r="AE489" i="3" s="1"/>
  <c r="D489" i="3"/>
  <c r="G489" i="3" s="1"/>
  <c r="F489" i="3" l="1"/>
  <c r="I489" i="3"/>
  <c r="J489" i="3"/>
  <c r="M489" i="3"/>
  <c r="N489" i="3" s="1"/>
  <c r="V489" i="3"/>
  <c r="A490" i="3"/>
  <c r="B490" i="3" s="1"/>
  <c r="W489" i="3" l="1"/>
  <c r="P490" i="3"/>
  <c r="Q490" i="3" s="1"/>
  <c r="R490" i="3" s="1"/>
  <c r="S490" i="3" s="1"/>
  <c r="AC490" i="3"/>
  <c r="AD490" i="3"/>
  <c r="AA490" i="3"/>
  <c r="Z490" i="3"/>
  <c r="L489" i="3"/>
  <c r="U489" i="3" l="1"/>
  <c r="Y488" i="3"/>
  <c r="T490" i="3"/>
  <c r="E490" i="3" l="1"/>
  <c r="H490" i="3" s="1"/>
  <c r="K490" i="3" s="1"/>
  <c r="AE490" i="3" s="1"/>
  <c r="AH490" i="3"/>
  <c r="AG490" i="3"/>
  <c r="D490" i="3"/>
  <c r="F490" i="3" l="1"/>
  <c r="G490" i="3"/>
  <c r="V490" i="3"/>
  <c r="A491" i="3"/>
  <c r="B491" i="3" s="1"/>
  <c r="AD491" i="3" l="1"/>
  <c r="P491" i="3"/>
  <c r="Q491" i="3" s="1"/>
  <c r="R491" i="3" s="1"/>
  <c r="S491" i="3" s="1"/>
  <c r="AC491" i="3"/>
  <c r="AA491" i="3"/>
  <c r="Z491" i="3"/>
  <c r="I490" i="3"/>
  <c r="W490" i="3" s="1"/>
  <c r="J490" i="3"/>
  <c r="M490" i="3"/>
  <c r="N490" i="3" s="1"/>
  <c r="L490" i="3" l="1"/>
  <c r="T491" i="3"/>
  <c r="AG491" i="3" l="1"/>
  <c r="U490" i="3"/>
  <c r="E491" i="3" s="1"/>
  <c r="H491" i="3" s="1"/>
  <c r="AH491" i="3"/>
  <c r="Y489" i="3"/>
  <c r="D491" i="3" l="1"/>
  <c r="F491" i="3" s="1"/>
  <c r="K491" i="3"/>
  <c r="AE491" i="3" s="1"/>
  <c r="G491" i="3" l="1"/>
  <c r="I491" i="3" s="1"/>
  <c r="V491" i="3"/>
  <c r="A492" i="3"/>
  <c r="B492" i="3" s="1"/>
  <c r="W491" i="3" l="1"/>
  <c r="M491" i="3"/>
  <c r="N491" i="3" s="1"/>
  <c r="J491" i="3"/>
  <c r="L491" i="3" s="1"/>
  <c r="Z492" i="3"/>
  <c r="P492" i="3"/>
  <c r="Q492" i="3" s="1"/>
  <c r="R492" i="3" s="1"/>
  <c r="S492" i="3" s="1"/>
  <c r="AA492" i="3"/>
  <c r="AD492" i="3"/>
  <c r="AC492" i="3"/>
  <c r="T492" i="3" l="1"/>
  <c r="AH492" i="3" s="1"/>
  <c r="U491" i="3"/>
  <c r="Y490" i="3"/>
  <c r="AG492" i="3" l="1"/>
  <c r="E492" i="3"/>
  <c r="H492" i="3" s="1"/>
  <c r="K492" i="3" s="1"/>
  <c r="AE492" i="3" s="1"/>
  <c r="D492" i="3"/>
  <c r="V492" i="3" l="1"/>
  <c r="A493" i="3"/>
  <c r="B493" i="3" s="1"/>
  <c r="F492" i="3"/>
  <c r="G492" i="3"/>
  <c r="AA493" i="3" l="1"/>
  <c r="P493" i="3"/>
  <c r="Q493" i="3" s="1"/>
  <c r="R493" i="3" s="1"/>
  <c r="S493" i="3" s="1"/>
  <c r="AD493" i="3"/>
  <c r="Z493" i="3"/>
  <c r="AC493" i="3"/>
  <c r="I492" i="3"/>
  <c r="W492" i="3" s="1"/>
  <c r="J492" i="3"/>
  <c r="M492" i="3"/>
  <c r="N492" i="3" s="1"/>
  <c r="T493" i="3" l="1"/>
  <c r="L492" i="3"/>
  <c r="AG493" i="3" l="1"/>
  <c r="AH493" i="3"/>
  <c r="U492" i="3"/>
  <c r="E493" i="3" s="1"/>
  <c r="H493" i="3" s="1"/>
  <c r="Y491" i="3"/>
  <c r="K493" i="3" l="1"/>
  <c r="AE493" i="3" s="1"/>
  <c r="D493" i="3"/>
  <c r="F493" i="3" l="1"/>
  <c r="G493" i="3"/>
  <c r="V493" i="3"/>
  <c r="A494" i="3"/>
  <c r="B494" i="3" s="1"/>
  <c r="AC494" i="3" l="1"/>
  <c r="P494" i="3"/>
  <c r="Q494" i="3" s="1"/>
  <c r="R494" i="3" s="1"/>
  <c r="S494" i="3" s="1"/>
  <c r="Z494" i="3"/>
  <c r="AA494" i="3"/>
  <c r="I493" i="3"/>
  <c r="W493" i="3" s="1"/>
  <c r="J493" i="3"/>
  <c r="M493" i="3"/>
  <c r="N493" i="3" s="1"/>
  <c r="L493" i="3" l="1"/>
  <c r="T494" i="3"/>
  <c r="AH494" i="3" l="1"/>
  <c r="AG494" i="3"/>
  <c r="U493" i="3"/>
  <c r="E494" i="3" s="1"/>
  <c r="H494" i="3" s="1"/>
  <c r="Y492" i="3"/>
  <c r="D494" i="3" l="1"/>
  <c r="F494" i="3" s="1"/>
  <c r="K494" i="3"/>
  <c r="AE494" i="3" s="1"/>
  <c r="G494" i="3" l="1"/>
  <c r="I494" i="3" s="1"/>
  <c r="V494" i="3"/>
  <c r="A495" i="3"/>
  <c r="B495" i="3" s="1"/>
  <c r="W494" i="3" l="1"/>
  <c r="J494" i="3"/>
  <c r="M494" i="3"/>
  <c r="N494" i="3" s="1"/>
  <c r="AC495" i="3"/>
  <c r="P495" i="3"/>
  <c r="Q495" i="3" s="1"/>
  <c r="R495" i="3" s="1"/>
  <c r="S495" i="3" s="1"/>
  <c r="Z495" i="3"/>
  <c r="AA495" i="3"/>
  <c r="AD495" i="3"/>
  <c r="L494" i="3" l="1"/>
  <c r="AD494" i="3"/>
  <c r="T495" i="3"/>
  <c r="AH495" i="3" s="1"/>
  <c r="U494" i="3"/>
  <c r="Y493" i="3"/>
  <c r="E495" i="3" l="1"/>
  <c r="H495" i="3" s="1"/>
  <c r="K495" i="3" s="1"/>
  <c r="AE495" i="3" s="1"/>
  <c r="D495" i="3"/>
  <c r="AG495" i="3"/>
  <c r="F495" i="3" l="1"/>
  <c r="G495" i="3"/>
  <c r="I495" i="3" s="1"/>
  <c r="V495" i="3"/>
  <c r="A496" i="3"/>
  <c r="B496" i="3" s="1"/>
  <c r="M495" i="3" l="1"/>
  <c r="N495" i="3" s="1"/>
  <c r="J495" i="3"/>
  <c r="L495" i="3" s="1"/>
  <c r="W495" i="3"/>
  <c r="AD496" i="3"/>
  <c r="Z496" i="3"/>
  <c r="AC496" i="3"/>
  <c r="AA496" i="3"/>
  <c r="P496" i="3"/>
  <c r="Q496" i="3" s="1"/>
  <c r="R496" i="3" s="1"/>
  <c r="S496" i="3" s="1"/>
  <c r="T496" i="3" l="1"/>
  <c r="AH496" i="3" s="1"/>
  <c r="U495" i="3"/>
  <c r="Y494" i="3"/>
  <c r="AG496" i="3" l="1"/>
  <c r="E496" i="3"/>
  <c r="H496" i="3" s="1"/>
  <c r="K496" i="3" s="1"/>
  <c r="AE496" i="3" s="1"/>
  <c r="D496" i="3"/>
  <c r="F496" i="3" l="1"/>
  <c r="G496" i="3"/>
  <c r="I496" i="3" s="1"/>
  <c r="V496" i="3"/>
  <c r="A497" i="3"/>
  <c r="B497" i="3" s="1"/>
  <c r="M496" i="3" l="1"/>
  <c r="N496" i="3" s="1"/>
  <c r="J496" i="3"/>
  <c r="L496" i="3" s="1"/>
  <c r="AC497" i="3"/>
  <c r="AA497" i="3"/>
  <c r="AD497" i="3"/>
  <c r="Z497" i="3"/>
  <c r="P497" i="3"/>
  <c r="Q497" i="3" s="1"/>
  <c r="R497" i="3" s="1"/>
  <c r="S497" i="3" s="1"/>
  <c r="W496" i="3"/>
  <c r="T497" i="3" l="1"/>
  <c r="AH497" i="3" s="1"/>
  <c r="U496" i="3"/>
  <c r="Y495" i="3"/>
  <c r="D497" i="3" l="1"/>
  <c r="G497" i="3" s="1"/>
  <c r="AG497" i="3"/>
  <c r="E497" i="3"/>
  <c r="H497" i="3" s="1"/>
  <c r="K497" i="3" s="1"/>
  <c r="AE497" i="3" s="1"/>
  <c r="F497" i="3" l="1"/>
  <c r="V497" i="3"/>
  <c r="A498" i="3"/>
  <c r="B498" i="3" s="1"/>
  <c r="I497" i="3"/>
  <c r="J497" i="3"/>
  <c r="M497" i="3"/>
  <c r="N497" i="3" s="1"/>
  <c r="AA498" i="3" l="1"/>
  <c r="P498" i="3"/>
  <c r="Q498" i="3" s="1"/>
  <c r="R498" i="3" s="1"/>
  <c r="S498" i="3" s="1"/>
  <c r="Z498" i="3"/>
  <c r="AC498" i="3"/>
  <c r="AD498" i="3"/>
  <c r="L497" i="3"/>
  <c r="W497" i="3"/>
  <c r="T498" i="3" l="1"/>
  <c r="AH498" i="3" s="1"/>
  <c r="U497" i="3"/>
  <c r="Y496" i="3"/>
  <c r="AG498" i="3" l="1"/>
  <c r="E498" i="3"/>
  <c r="H498" i="3" s="1"/>
  <c r="K498" i="3" s="1"/>
  <c r="AE498" i="3" s="1"/>
  <c r="D498" i="3"/>
  <c r="F498" i="3" l="1"/>
  <c r="G498" i="3"/>
  <c r="I498" i="3" s="1"/>
  <c r="V498" i="3"/>
  <c r="A499" i="3"/>
  <c r="B499" i="3" s="1"/>
  <c r="W498" i="3" l="1"/>
  <c r="M498" i="3"/>
  <c r="N498" i="3" s="1"/>
  <c r="J498" i="3"/>
  <c r="L498" i="3" s="1"/>
  <c r="AD499" i="3"/>
  <c r="AA499" i="3"/>
  <c r="Z499" i="3"/>
  <c r="AC499" i="3"/>
  <c r="P499" i="3"/>
  <c r="Q499" i="3" s="1"/>
  <c r="R499" i="3" s="1"/>
  <c r="S499" i="3" s="1"/>
  <c r="U498" i="3" l="1"/>
  <c r="Y497" i="3"/>
  <c r="T499" i="3"/>
  <c r="AH499" i="3" s="1"/>
  <c r="D499" i="3" l="1"/>
  <c r="AG499" i="3"/>
  <c r="E499" i="3"/>
  <c r="H499" i="3" s="1"/>
  <c r="K499" i="3" l="1"/>
  <c r="AE499" i="3" s="1"/>
  <c r="F499" i="3"/>
  <c r="G499" i="3"/>
  <c r="I499" i="3" l="1"/>
  <c r="J499" i="3"/>
  <c r="M499" i="3"/>
  <c r="N499" i="3" s="1"/>
  <c r="V499" i="3"/>
  <c r="A500" i="3"/>
  <c r="B500" i="3" s="1"/>
  <c r="W499" i="3" l="1"/>
  <c r="Z500" i="3"/>
  <c r="P500" i="3"/>
  <c r="Q500" i="3" s="1"/>
  <c r="R500" i="3" s="1"/>
  <c r="S500" i="3" s="1"/>
  <c r="AC500" i="3"/>
  <c r="AD500" i="3"/>
  <c r="AA500" i="3"/>
  <c r="L499" i="3"/>
  <c r="T500" i="3" l="1"/>
  <c r="AG500" i="3" s="1"/>
  <c r="U499" i="3"/>
  <c r="Y498" i="3"/>
  <c r="D500" i="3" l="1"/>
  <c r="G500" i="3" s="1"/>
  <c r="AH500" i="3"/>
  <c r="E500" i="3"/>
  <c r="H500" i="3" s="1"/>
  <c r="K500" i="3" s="1"/>
  <c r="AE500" i="3" s="1"/>
  <c r="F500" i="3" l="1"/>
  <c r="I500" i="3"/>
  <c r="J500" i="3"/>
  <c r="M500" i="3"/>
  <c r="N500" i="3" s="1"/>
  <c r="V500" i="3"/>
  <c r="A501" i="3"/>
  <c r="B501" i="3" s="1"/>
  <c r="W500" i="3" l="1"/>
  <c r="Z501" i="3"/>
  <c r="AD501" i="3"/>
  <c r="AA501" i="3"/>
  <c r="P501" i="3"/>
  <c r="Q501" i="3" s="1"/>
  <c r="R501" i="3" s="1"/>
  <c r="S501" i="3" s="1"/>
  <c r="AC501" i="3"/>
  <c r="L500" i="3"/>
  <c r="T501" i="3" l="1"/>
  <c r="AH501" i="3" s="1"/>
  <c r="U500" i="3"/>
  <c r="Y499" i="3"/>
  <c r="D501" i="3" l="1"/>
  <c r="G501" i="3" s="1"/>
  <c r="E501" i="3"/>
  <c r="H501" i="3" s="1"/>
  <c r="K501" i="3" s="1"/>
  <c r="AE501" i="3" s="1"/>
  <c r="AG501" i="3"/>
  <c r="F501" i="3" l="1"/>
  <c r="I501" i="3"/>
  <c r="J501" i="3"/>
  <c r="M501" i="3"/>
  <c r="N501" i="3" s="1"/>
  <c r="V501" i="3"/>
  <c r="A502" i="3"/>
  <c r="B502" i="3" s="1"/>
  <c r="W501" i="3" l="1"/>
  <c r="L501" i="3"/>
  <c r="AA502" i="3"/>
  <c r="AC502" i="3"/>
  <c r="Z502" i="3"/>
  <c r="AD502" i="3"/>
  <c r="P502" i="3"/>
  <c r="Q502" i="3" s="1"/>
  <c r="R502" i="3" s="1"/>
  <c r="S502" i="3" s="1"/>
  <c r="T502" i="3" l="1"/>
  <c r="AG502" i="3" s="1"/>
  <c r="U501" i="3"/>
  <c r="Y500" i="3"/>
  <c r="E502" i="3" l="1"/>
  <c r="H502" i="3" s="1"/>
  <c r="K502" i="3" s="1"/>
  <c r="AE502" i="3" s="1"/>
  <c r="D502" i="3"/>
  <c r="AH502" i="3"/>
  <c r="F502" i="3" l="1"/>
  <c r="G502" i="3"/>
  <c r="M502" i="3" s="1"/>
  <c r="N502" i="3" s="1"/>
  <c r="V502" i="3"/>
  <c r="A503" i="3"/>
  <c r="B503" i="3" s="1"/>
  <c r="J502" i="3" l="1"/>
  <c r="L502" i="3" s="1"/>
  <c r="I502" i="3"/>
  <c r="W502" i="3" s="1"/>
  <c r="Z503" i="3"/>
  <c r="AC503" i="3"/>
  <c r="AA503" i="3"/>
  <c r="AD503" i="3"/>
  <c r="P503" i="3"/>
  <c r="Q503" i="3" s="1"/>
  <c r="R503" i="3" s="1"/>
  <c r="S503" i="3" s="1"/>
  <c r="T503" i="3" l="1"/>
  <c r="AH503" i="3" s="1"/>
  <c r="U502" i="3"/>
  <c r="Y501" i="3"/>
  <c r="E503" i="3" l="1"/>
  <c r="H503" i="3" s="1"/>
  <c r="K503" i="3" s="1"/>
  <c r="AE503" i="3" s="1"/>
  <c r="AG503" i="3"/>
  <c r="D503" i="3"/>
  <c r="F503" i="3" l="1"/>
  <c r="G503" i="3"/>
  <c r="I503" i="3" s="1"/>
  <c r="V503" i="3"/>
  <c r="A504" i="3"/>
  <c r="B504" i="3" s="1"/>
  <c r="M503" i="3" l="1"/>
  <c r="N503" i="3" s="1"/>
  <c r="J503" i="3"/>
  <c r="L503" i="3" s="1"/>
  <c r="W503" i="3"/>
  <c r="AC504" i="3"/>
  <c r="Z504" i="3"/>
  <c r="P504" i="3"/>
  <c r="Q504" i="3" s="1"/>
  <c r="R504" i="3" s="1"/>
  <c r="S504" i="3" s="1"/>
  <c r="AA504" i="3"/>
  <c r="U503" i="3" l="1"/>
  <c r="Y502" i="3"/>
  <c r="T504" i="3"/>
  <c r="E504" i="3" l="1"/>
  <c r="H504" i="3" s="1"/>
  <c r="K504" i="3" s="1"/>
  <c r="AE504" i="3" s="1"/>
  <c r="AH504" i="3"/>
  <c r="AG504" i="3"/>
  <c r="D504" i="3"/>
  <c r="F504" i="3" l="1"/>
  <c r="G504" i="3"/>
  <c r="V504" i="3"/>
  <c r="A505" i="3"/>
  <c r="B505" i="3" s="1"/>
  <c r="P505" i="3" l="1"/>
  <c r="Q505" i="3" s="1"/>
  <c r="R505" i="3" s="1"/>
  <c r="S505" i="3" s="1"/>
  <c r="AD505" i="3"/>
  <c r="AA505" i="3"/>
  <c r="Z505" i="3"/>
  <c r="AC505" i="3"/>
  <c r="I504" i="3"/>
  <c r="W504" i="3" s="1"/>
  <c r="J504" i="3"/>
  <c r="AD504" i="3" s="1"/>
  <c r="M504" i="3"/>
  <c r="N504" i="3" s="1"/>
  <c r="L504" i="3" l="1"/>
  <c r="T505" i="3"/>
  <c r="AG505" i="3" l="1"/>
  <c r="AH505" i="3"/>
  <c r="U504" i="3"/>
  <c r="E505" i="3" s="1"/>
  <c r="H505" i="3" s="1"/>
  <c r="Y503" i="3"/>
  <c r="K505" i="3" l="1"/>
  <c r="AE505" i="3" s="1"/>
  <c r="D505" i="3"/>
  <c r="F505" i="3" l="1"/>
  <c r="G505" i="3"/>
  <c r="V505" i="3"/>
  <c r="A506" i="3"/>
  <c r="B506" i="3" s="1"/>
  <c r="Z506" i="3" l="1"/>
  <c r="AC506" i="3"/>
  <c r="P506" i="3"/>
  <c r="Q506" i="3" s="1"/>
  <c r="R506" i="3" s="1"/>
  <c r="S506" i="3" s="1"/>
  <c r="AD506" i="3"/>
  <c r="AA506" i="3"/>
  <c r="I505" i="3"/>
  <c r="W505" i="3" s="1"/>
  <c r="J505" i="3"/>
  <c r="M505" i="3"/>
  <c r="N505" i="3" s="1"/>
  <c r="T506" i="3" l="1"/>
  <c r="L505" i="3"/>
  <c r="U505" i="3" l="1"/>
  <c r="D506" i="3" s="1"/>
  <c r="AH506" i="3"/>
  <c r="AG506" i="3"/>
  <c r="Y504" i="3"/>
  <c r="E506" i="3" l="1"/>
  <c r="H506" i="3" s="1"/>
  <c r="K506" i="3" s="1"/>
  <c r="AE506" i="3" s="1"/>
  <c r="G506" i="3"/>
  <c r="F506" i="3" l="1"/>
  <c r="V506" i="3"/>
  <c r="A507" i="3"/>
  <c r="B507" i="3" s="1"/>
  <c r="I506" i="3"/>
  <c r="J506" i="3"/>
  <c r="M506" i="3"/>
  <c r="N506" i="3" s="1"/>
  <c r="L506" i="3" l="1"/>
  <c r="Z507" i="3"/>
  <c r="AD507" i="3"/>
  <c r="P507" i="3"/>
  <c r="Q507" i="3" s="1"/>
  <c r="R507" i="3" s="1"/>
  <c r="S507" i="3" s="1"/>
  <c r="AA507" i="3"/>
  <c r="AC507" i="3"/>
  <c r="W506" i="3"/>
  <c r="T507" i="3" l="1"/>
  <c r="AG507" i="3" s="1"/>
  <c r="U506" i="3"/>
  <c r="Y505" i="3"/>
  <c r="AH507" i="3" l="1"/>
  <c r="E507" i="3"/>
  <c r="H507" i="3" s="1"/>
  <c r="D507" i="3"/>
  <c r="K507" i="3" l="1"/>
  <c r="AE507" i="3" s="1"/>
  <c r="F507" i="3"/>
  <c r="G507" i="3"/>
  <c r="I507" i="3" l="1"/>
  <c r="J507" i="3"/>
  <c r="M507" i="3"/>
  <c r="N507" i="3" s="1"/>
  <c r="V507" i="3"/>
  <c r="A508" i="3"/>
  <c r="B508" i="3" s="1"/>
  <c r="W507" i="3" l="1"/>
  <c r="Z508" i="3"/>
  <c r="AC508" i="3"/>
  <c r="P508" i="3"/>
  <c r="Q508" i="3" s="1"/>
  <c r="R508" i="3" s="1"/>
  <c r="S508" i="3" s="1"/>
  <c r="AA508" i="3"/>
  <c r="AD508" i="3"/>
  <c r="L507" i="3"/>
  <c r="T508" i="3" l="1"/>
  <c r="AH508" i="3" s="1"/>
  <c r="U507" i="3"/>
  <c r="Y506" i="3"/>
  <c r="D508" i="3" l="1"/>
  <c r="G508" i="3" s="1"/>
  <c r="AG508" i="3"/>
  <c r="E508" i="3"/>
  <c r="H508" i="3" s="1"/>
  <c r="K508" i="3" l="1"/>
  <c r="AE508" i="3" s="1"/>
  <c r="I508" i="3"/>
  <c r="J508" i="3"/>
  <c r="M508" i="3"/>
  <c r="N508" i="3" s="1"/>
  <c r="F508" i="3"/>
  <c r="L508" i="3" l="1"/>
  <c r="V508" i="3"/>
  <c r="W508" i="3" s="1"/>
  <c r="A509" i="3"/>
  <c r="B509" i="3" s="1"/>
  <c r="P509" i="3" l="1"/>
  <c r="Q509" i="3" s="1"/>
  <c r="R509" i="3" s="1"/>
  <c r="S509" i="3" s="1"/>
  <c r="Z509" i="3"/>
  <c r="AC509" i="3"/>
  <c r="AD509" i="3"/>
  <c r="AA509" i="3"/>
  <c r="U508" i="3"/>
  <c r="Y507" i="3"/>
  <c r="T509" i="3" l="1"/>
  <c r="D509" i="3" l="1"/>
  <c r="AH509" i="3"/>
  <c r="E509" i="3"/>
  <c r="H509" i="3" s="1"/>
  <c r="AG509" i="3"/>
  <c r="K509" i="3" l="1"/>
  <c r="AE509" i="3" s="1"/>
  <c r="F509" i="3"/>
  <c r="G509" i="3"/>
  <c r="I509" i="3" l="1"/>
  <c r="J509" i="3"/>
  <c r="M509" i="3"/>
  <c r="N509" i="3" s="1"/>
  <c r="V509" i="3"/>
  <c r="A510" i="3"/>
  <c r="B510" i="3" s="1"/>
  <c r="W509" i="3" l="1"/>
  <c r="L509" i="3"/>
  <c r="AD510" i="3"/>
  <c r="P510" i="3"/>
  <c r="Q510" i="3" s="1"/>
  <c r="R510" i="3" s="1"/>
  <c r="S510" i="3" s="1"/>
  <c r="AC510" i="3"/>
  <c r="Z510" i="3"/>
  <c r="AA510" i="3"/>
  <c r="T510" i="3" l="1"/>
  <c r="AG510" i="3" s="1"/>
  <c r="U509" i="3"/>
  <c r="Y508" i="3"/>
  <c r="D510" i="3" l="1"/>
  <c r="G510" i="3" s="1"/>
  <c r="AH510" i="3"/>
  <c r="E510" i="3"/>
  <c r="H510" i="3" s="1"/>
  <c r="K510" i="3" s="1"/>
  <c r="AE510" i="3" s="1"/>
  <c r="F510" i="3" l="1"/>
  <c r="V510" i="3"/>
  <c r="A511" i="3"/>
  <c r="B511" i="3" s="1"/>
  <c r="I510" i="3"/>
  <c r="J510" i="3"/>
  <c r="M510" i="3"/>
  <c r="N510" i="3" s="1"/>
  <c r="L510" i="3" l="1"/>
  <c r="AC511" i="3"/>
  <c r="P511" i="3"/>
  <c r="Q511" i="3" s="1"/>
  <c r="R511" i="3" s="1"/>
  <c r="S511" i="3" s="1"/>
  <c r="Z511" i="3"/>
  <c r="AD511" i="3"/>
  <c r="AA511" i="3"/>
  <c r="W510" i="3"/>
  <c r="T511" i="3" l="1"/>
  <c r="AG511" i="3" s="1"/>
  <c r="U510" i="3"/>
  <c r="Y509" i="3"/>
  <c r="AH511" i="3" l="1"/>
  <c r="E511" i="3"/>
  <c r="H511" i="3" s="1"/>
  <c r="K511" i="3" s="1"/>
  <c r="AE511" i="3" s="1"/>
  <c r="D511" i="3"/>
  <c r="F511" i="3" l="1"/>
  <c r="G511" i="3"/>
  <c r="J511" i="3" s="1"/>
  <c r="V511" i="3"/>
  <c r="A512" i="3"/>
  <c r="B512" i="3" s="1"/>
  <c r="M511" i="3" l="1"/>
  <c r="N511" i="3" s="1"/>
  <c r="I511" i="3"/>
  <c r="W511" i="3" s="1"/>
  <c r="Z512" i="3"/>
  <c r="AA512" i="3"/>
  <c r="AD512" i="3"/>
  <c r="AC512" i="3"/>
  <c r="P512" i="3"/>
  <c r="Q512" i="3" s="1"/>
  <c r="R512" i="3" s="1"/>
  <c r="S512" i="3" s="1"/>
  <c r="L511" i="3"/>
  <c r="T512" i="3" l="1"/>
  <c r="AH512" i="3" s="1"/>
  <c r="U511" i="3"/>
  <c r="Y510" i="3"/>
  <c r="E512" i="3" l="1"/>
  <c r="H512" i="3" s="1"/>
  <c r="K512" i="3" s="1"/>
  <c r="AE512" i="3" s="1"/>
  <c r="AG512" i="3"/>
  <c r="D512" i="3"/>
  <c r="G512" i="3" s="1"/>
  <c r="F512" i="3" l="1"/>
  <c r="V512" i="3"/>
  <c r="A513" i="3"/>
  <c r="B513" i="3" s="1"/>
  <c r="I512" i="3"/>
  <c r="J512" i="3"/>
  <c r="M512" i="3"/>
  <c r="N512" i="3" s="1"/>
  <c r="L512" i="3" l="1"/>
  <c r="Z513" i="3"/>
  <c r="AD513" i="3"/>
  <c r="AC513" i="3"/>
  <c r="AA513" i="3"/>
  <c r="P513" i="3"/>
  <c r="Q513" i="3" s="1"/>
  <c r="R513" i="3" s="1"/>
  <c r="S513" i="3" s="1"/>
  <c r="W512" i="3"/>
  <c r="T513" i="3" l="1"/>
  <c r="AG513" i="3" s="1"/>
  <c r="U512" i="3"/>
  <c r="Y511" i="3"/>
  <c r="E513" i="3" l="1"/>
  <c r="H513" i="3" s="1"/>
  <c r="K513" i="3" s="1"/>
  <c r="AE513" i="3" s="1"/>
  <c r="AH513" i="3"/>
  <c r="D513" i="3"/>
  <c r="F513" i="3" l="1"/>
  <c r="G513" i="3"/>
  <c r="I513" i="3" s="1"/>
  <c r="V513" i="3"/>
  <c r="A514" i="3"/>
  <c r="B514" i="3" s="1"/>
  <c r="M513" i="3" l="1"/>
  <c r="N513" i="3" s="1"/>
  <c r="J513" i="3"/>
  <c r="L513" i="3" s="1"/>
  <c r="W513" i="3"/>
  <c r="AA514" i="3"/>
  <c r="AC514" i="3"/>
  <c r="Z514" i="3"/>
  <c r="P514" i="3"/>
  <c r="Q514" i="3" s="1"/>
  <c r="R514" i="3" s="1"/>
  <c r="S514" i="3" s="1"/>
  <c r="T514" i="3" l="1"/>
  <c r="AG514" i="3" s="1"/>
  <c r="U513" i="3"/>
  <c r="Y512" i="3"/>
  <c r="E514" i="3" l="1"/>
  <c r="H514" i="3" s="1"/>
  <c r="K514" i="3" s="1"/>
  <c r="AE514" i="3" s="1"/>
  <c r="AH514" i="3"/>
  <c r="D514" i="3"/>
  <c r="F514" i="3" l="1"/>
  <c r="G514" i="3"/>
  <c r="I514" i="3" s="1"/>
  <c r="V514" i="3"/>
  <c r="A515" i="3"/>
  <c r="B515" i="3" s="1"/>
  <c r="M514" i="3" l="1"/>
  <c r="N514" i="3" s="1"/>
  <c r="J514" i="3"/>
  <c r="AD514" i="3" s="1"/>
  <c r="W514" i="3"/>
  <c r="Z515" i="3"/>
  <c r="AA515" i="3"/>
  <c r="AD515" i="3"/>
  <c r="AC515" i="3"/>
  <c r="P515" i="3"/>
  <c r="Q515" i="3" s="1"/>
  <c r="R515" i="3" s="1"/>
  <c r="S515" i="3" s="1"/>
  <c r="L514" i="3" l="1"/>
  <c r="U514" i="3" s="1"/>
  <c r="T515" i="3"/>
  <c r="E515" i="3" l="1"/>
  <c r="H515" i="3" s="1"/>
  <c r="K515" i="3" s="1"/>
  <c r="AE515" i="3" s="1"/>
  <c r="AH515" i="3"/>
  <c r="AG515" i="3"/>
  <c r="Y513" i="3"/>
  <c r="D515" i="3"/>
  <c r="F515" i="3" l="1"/>
  <c r="G515" i="3"/>
  <c r="I515" i="3" s="1"/>
  <c r="V515" i="3"/>
  <c r="A516" i="3"/>
  <c r="B516" i="3" s="1"/>
  <c r="W515" i="3" l="1"/>
  <c r="M515" i="3"/>
  <c r="N515" i="3" s="1"/>
  <c r="J515" i="3"/>
  <c r="L515" i="3" s="1"/>
  <c r="AD516" i="3"/>
  <c r="AA516" i="3"/>
  <c r="P516" i="3"/>
  <c r="Q516" i="3" s="1"/>
  <c r="R516" i="3" s="1"/>
  <c r="S516" i="3" s="1"/>
  <c r="Z516" i="3"/>
  <c r="AC516" i="3"/>
  <c r="T516" i="3" l="1"/>
  <c r="AG516" i="3" s="1"/>
  <c r="U515" i="3"/>
  <c r="Y514" i="3"/>
  <c r="AH516" i="3" l="1"/>
  <c r="E516" i="3"/>
  <c r="H516" i="3" s="1"/>
  <c r="K516" i="3" s="1"/>
  <c r="AE516" i="3" s="1"/>
  <c r="D516" i="3"/>
  <c r="F516" i="3" l="1"/>
  <c r="G516" i="3"/>
  <c r="V516" i="3"/>
  <c r="A517" i="3"/>
  <c r="B517" i="3" s="1"/>
  <c r="AC517" i="3" l="1"/>
  <c r="P517" i="3"/>
  <c r="Q517" i="3" s="1"/>
  <c r="R517" i="3" s="1"/>
  <c r="S517" i="3" s="1"/>
  <c r="AA517" i="3"/>
  <c r="Z517" i="3"/>
  <c r="AD517" i="3"/>
  <c r="I516" i="3"/>
  <c r="W516" i="3" s="1"/>
  <c r="J516" i="3"/>
  <c r="M516" i="3"/>
  <c r="N516" i="3" s="1"/>
  <c r="T517" i="3" l="1"/>
  <c r="L516" i="3"/>
  <c r="AG517" i="3" l="1"/>
  <c r="U516" i="3"/>
  <c r="E517" i="3" s="1"/>
  <c r="H517" i="3" s="1"/>
  <c r="AH517" i="3"/>
  <c r="Y515" i="3"/>
  <c r="D517" i="3" l="1"/>
  <c r="F517" i="3" s="1"/>
  <c r="K517" i="3"/>
  <c r="AE517" i="3" s="1"/>
  <c r="G517" i="3" l="1"/>
  <c r="I517" i="3" s="1"/>
  <c r="V517" i="3"/>
  <c r="A518" i="3"/>
  <c r="B518" i="3" s="1"/>
  <c r="M517" i="3" l="1"/>
  <c r="N517" i="3" s="1"/>
  <c r="J517" i="3"/>
  <c r="L517" i="3" s="1"/>
  <c r="W517" i="3"/>
  <c r="AC518" i="3"/>
  <c r="P518" i="3"/>
  <c r="Q518" i="3" s="1"/>
  <c r="R518" i="3" s="1"/>
  <c r="S518" i="3" s="1"/>
  <c r="AA518" i="3"/>
  <c r="Z518" i="3"/>
  <c r="AD518" i="3"/>
  <c r="T518" i="3" l="1"/>
  <c r="AG518" i="3" s="1"/>
  <c r="U517" i="3"/>
  <c r="Y516" i="3"/>
  <c r="E518" i="3" l="1"/>
  <c r="H518" i="3" s="1"/>
  <c r="K518" i="3" s="1"/>
  <c r="AE518" i="3" s="1"/>
  <c r="AH518" i="3"/>
  <c r="D518" i="3"/>
  <c r="F518" i="3" l="1"/>
  <c r="G518" i="3"/>
  <c r="M518" i="3" s="1"/>
  <c r="N518" i="3" s="1"/>
  <c r="V518" i="3"/>
  <c r="A519" i="3"/>
  <c r="B519" i="3" s="1"/>
  <c r="J518" i="3" l="1"/>
  <c r="L518" i="3" s="1"/>
  <c r="I518" i="3"/>
  <c r="W518" i="3" s="1"/>
  <c r="AA519" i="3"/>
  <c r="Z519" i="3"/>
  <c r="AD519" i="3"/>
  <c r="AC519" i="3"/>
  <c r="P519" i="3"/>
  <c r="Q519" i="3" s="1"/>
  <c r="R519" i="3" s="1"/>
  <c r="S519" i="3" s="1"/>
  <c r="T519" i="3" l="1"/>
  <c r="AG519" i="3" s="1"/>
  <c r="U518" i="3"/>
  <c r="Y517" i="3"/>
  <c r="E519" i="3" l="1"/>
  <c r="H519" i="3" s="1"/>
  <c r="K519" i="3" s="1"/>
  <c r="AE519" i="3" s="1"/>
  <c r="D519" i="3"/>
  <c r="AH519" i="3"/>
  <c r="F519" i="3" l="1"/>
  <c r="G519" i="3"/>
  <c r="I519" i="3" s="1"/>
  <c r="V519" i="3"/>
  <c r="A520" i="3"/>
  <c r="B520" i="3" s="1"/>
  <c r="W519" i="3" l="1"/>
  <c r="M519" i="3"/>
  <c r="N519" i="3" s="1"/>
  <c r="J519" i="3"/>
  <c r="L519" i="3" s="1"/>
  <c r="P520" i="3"/>
  <c r="Q520" i="3" s="1"/>
  <c r="R520" i="3" s="1"/>
  <c r="S520" i="3" s="1"/>
  <c r="AC520" i="3"/>
  <c r="Z520" i="3"/>
  <c r="AA520" i="3"/>
  <c r="AD520" i="3"/>
  <c r="U519" i="3" l="1"/>
  <c r="Y518" i="3"/>
  <c r="T520" i="3"/>
  <c r="AG520" i="3" s="1"/>
  <c r="AH520" i="3" l="1"/>
  <c r="D520" i="3"/>
  <c r="G520" i="3" s="1"/>
  <c r="E520" i="3"/>
  <c r="H520" i="3" s="1"/>
  <c r="K520" i="3" s="1"/>
  <c r="AE520" i="3" s="1"/>
  <c r="F520" i="3" l="1"/>
  <c r="V520" i="3"/>
  <c r="A521" i="3"/>
  <c r="B521" i="3" s="1"/>
  <c r="I520" i="3"/>
  <c r="J520" i="3"/>
  <c r="M520" i="3"/>
  <c r="N520" i="3" s="1"/>
  <c r="L520" i="3" l="1"/>
  <c r="Z521" i="3"/>
  <c r="AC521" i="3"/>
  <c r="P521" i="3"/>
  <c r="Q521" i="3" s="1"/>
  <c r="R521" i="3" s="1"/>
  <c r="S521" i="3" s="1"/>
  <c r="AD521" i="3"/>
  <c r="AA521" i="3"/>
  <c r="W520" i="3"/>
  <c r="T521" i="3" l="1"/>
  <c r="AG521" i="3" s="1"/>
  <c r="U520" i="3"/>
  <c r="Y519" i="3"/>
  <c r="E521" i="3" l="1"/>
  <c r="H521" i="3" s="1"/>
  <c r="K521" i="3" s="1"/>
  <c r="AE521" i="3" s="1"/>
  <c r="AH521" i="3"/>
  <c r="D521" i="3"/>
  <c r="F521" i="3" l="1"/>
  <c r="G521" i="3"/>
  <c r="I521" i="3" s="1"/>
  <c r="V521" i="3"/>
  <c r="A522" i="3"/>
  <c r="B522" i="3" s="1"/>
  <c r="M521" i="3" l="1"/>
  <c r="N521" i="3" s="1"/>
  <c r="J521" i="3"/>
  <c r="L521" i="3" s="1"/>
  <c r="W521" i="3"/>
  <c r="AA522" i="3"/>
  <c r="Z522" i="3"/>
  <c r="AD522" i="3"/>
  <c r="AC522" i="3"/>
  <c r="P522" i="3"/>
  <c r="Q522" i="3" s="1"/>
  <c r="R522" i="3" s="1"/>
  <c r="S522" i="3" s="1"/>
  <c r="T522" i="3" l="1"/>
  <c r="AH522" i="3" s="1"/>
  <c r="U521" i="3"/>
  <c r="Y520" i="3"/>
  <c r="D522" i="3" l="1"/>
  <c r="G522" i="3" s="1"/>
  <c r="AG522" i="3"/>
  <c r="E522" i="3"/>
  <c r="H522" i="3" s="1"/>
  <c r="K522" i="3" s="1"/>
  <c r="AE522" i="3" s="1"/>
  <c r="F522" i="3" l="1"/>
  <c r="V522" i="3"/>
  <c r="A523" i="3"/>
  <c r="B523" i="3" s="1"/>
  <c r="I522" i="3"/>
  <c r="J522" i="3"/>
  <c r="M522" i="3"/>
  <c r="N522" i="3" s="1"/>
  <c r="AD523" i="3" l="1"/>
  <c r="P523" i="3"/>
  <c r="Q523" i="3" s="1"/>
  <c r="R523" i="3" s="1"/>
  <c r="S523" i="3" s="1"/>
  <c r="Z523" i="3"/>
  <c r="AC523" i="3"/>
  <c r="AA523" i="3"/>
  <c r="L522" i="3"/>
  <c r="W522" i="3"/>
  <c r="T523" i="3" l="1"/>
  <c r="AH523" i="3" s="1"/>
  <c r="U522" i="3"/>
  <c r="Y521" i="3"/>
  <c r="AG523" i="3" l="1"/>
  <c r="D523" i="3"/>
  <c r="G523" i="3" s="1"/>
  <c r="E523" i="3"/>
  <c r="H523" i="3" s="1"/>
  <c r="K523" i="3" s="1"/>
  <c r="AE523" i="3" s="1"/>
  <c r="F523" i="3" l="1"/>
  <c r="I523" i="3"/>
  <c r="J523" i="3"/>
  <c r="M523" i="3"/>
  <c r="N523" i="3" s="1"/>
  <c r="V523" i="3"/>
  <c r="A524" i="3"/>
  <c r="B524" i="3" s="1"/>
  <c r="W523" i="3" l="1"/>
  <c r="AA524" i="3"/>
  <c r="Z524" i="3"/>
  <c r="AC524" i="3"/>
  <c r="P524" i="3"/>
  <c r="Q524" i="3" s="1"/>
  <c r="R524" i="3" s="1"/>
  <c r="S524" i="3" s="1"/>
  <c r="L523" i="3"/>
  <c r="T524" i="3" l="1"/>
  <c r="AH524" i="3" s="1"/>
  <c r="U523" i="3"/>
  <c r="Y522" i="3"/>
  <c r="D524" i="3" l="1"/>
  <c r="G524" i="3" s="1"/>
  <c r="AG524" i="3"/>
  <c r="E524" i="3"/>
  <c r="H524" i="3" s="1"/>
  <c r="K524" i="3" s="1"/>
  <c r="AE524" i="3" s="1"/>
  <c r="F524" i="3" l="1"/>
  <c r="V524" i="3"/>
  <c r="A525" i="3"/>
  <c r="B525" i="3" s="1"/>
  <c r="I524" i="3"/>
  <c r="J524" i="3"/>
  <c r="AD524" i="3" s="1"/>
  <c r="M524" i="3"/>
  <c r="N524" i="3" s="1"/>
  <c r="L524" i="3" l="1"/>
  <c r="AC525" i="3"/>
  <c r="AA525" i="3"/>
  <c r="AD525" i="3"/>
  <c r="Z525" i="3"/>
  <c r="P525" i="3"/>
  <c r="Q525" i="3" s="1"/>
  <c r="R525" i="3" s="1"/>
  <c r="S525" i="3" s="1"/>
  <c r="W524" i="3"/>
  <c r="T525" i="3" l="1"/>
  <c r="AG525" i="3" s="1"/>
  <c r="U524" i="3"/>
  <c r="Y523" i="3"/>
  <c r="D525" i="3" l="1"/>
  <c r="G525" i="3" s="1"/>
  <c r="AH525" i="3"/>
  <c r="E525" i="3"/>
  <c r="H525" i="3" s="1"/>
  <c r="K525" i="3" s="1"/>
  <c r="AE525" i="3" s="1"/>
  <c r="F525" i="3" l="1"/>
  <c r="V525" i="3"/>
  <c r="A526" i="3"/>
  <c r="B526" i="3" s="1"/>
  <c r="I525" i="3"/>
  <c r="J525" i="3"/>
  <c r="M525" i="3"/>
  <c r="N525" i="3" s="1"/>
  <c r="P526" i="3" l="1"/>
  <c r="Q526" i="3" s="1"/>
  <c r="R526" i="3" s="1"/>
  <c r="S526" i="3" s="1"/>
  <c r="AA526" i="3"/>
  <c r="Z526" i="3"/>
  <c r="AD526" i="3"/>
  <c r="AC526" i="3"/>
  <c r="L525" i="3"/>
  <c r="W525" i="3"/>
  <c r="U525" i="3" l="1"/>
  <c r="Y524" i="3"/>
  <c r="T526" i="3"/>
  <c r="D526" i="3" l="1"/>
  <c r="G526" i="3" s="1"/>
  <c r="E526" i="3"/>
  <c r="H526" i="3" s="1"/>
  <c r="AG526" i="3"/>
  <c r="AH526" i="3"/>
  <c r="I526" i="3" l="1"/>
  <c r="J526" i="3"/>
  <c r="M526" i="3"/>
  <c r="N526" i="3" s="1"/>
  <c r="K526" i="3"/>
  <c r="AE526" i="3" s="1"/>
  <c r="F526" i="3"/>
  <c r="V526" i="3" l="1"/>
  <c r="W526" i="3" s="1"/>
  <c r="A527" i="3"/>
  <c r="B527" i="3" s="1"/>
  <c r="L526" i="3"/>
  <c r="U526" i="3" l="1"/>
  <c r="Y525" i="3"/>
  <c r="AA527" i="3"/>
  <c r="P527" i="3"/>
  <c r="Q527" i="3" s="1"/>
  <c r="R527" i="3" s="1"/>
  <c r="S527" i="3" s="1"/>
  <c r="AD527" i="3"/>
  <c r="Z527" i="3"/>
  <c r="AC527" i="3"/>
  <c r="T527" i="3" l="1"/>
  <c r="E527" i="3" s="1"/>
  <c r="H527" i="3" s="1"/>
  <c r="D527" i="3" l="1"/>
  <c r="F527" i="3" s="1"/>
  <c r="K527" i="3"/>
  <c r="AE527" i="3" s="1"/>
  <c r="AH527" i="3"/>
  <c r="AG527" i="3"/>
  <c r="G527" i="3" l="1"/>
  <c r="I527" i="3" s="1"/>
  <c r="V527" i="3"/>
  <c r="A528" i="3"/>
  <c r="B528" i="3" s="1"/>
  <c r="M527" i="3" l="1"/>
  <c r="N527" i="3" s="1"/>
  <c r="J527" i="3"/>
  <c r="L527" i="3" s="1"/>
  <c r="W527" i="3"/>
  <c r="AC528" i="3"/>
  <c r="AD528" i="3"/>
  <c r="AA528" i="3"/>
  <c r="Z528" i="3"/>
  <c r="P528" i="3"/>
  <c r="Q528" i="3" s="1"/>
  <c r="R528" i="3" s="1"/>
  <c r="S528" i="3" s="1"/>
  <c r="T528" i="3" l="1"/>
  <c r="AH528" i="3" s="1"/>
  <c r="U527" i="3"/>
  <c r="Y526" i="3"/>
  <c r="D528" i="3" l="1"/>
  <c r="G528" i="3" s="1"/>
  <c r="AG528" i="3"/>
  <c r="E528" i="3"/>
  <c r="H528" i="3" s="1"/>
  <c r="K528" i="3" s="1"/>
  <c r="AE528" i="3" s="1"/>
  <c r="F528" i="3" l="1"/>
  <c r="V528" i="3"/>
  <c r="A529" i="3"/>
  <c r="B529" i="3" s="1"/>
  <c r="I528" i="3"/>
  <c r="J528" i="3"/>
  <c r="M528" i="3"/>
  <c r="N528" i="3" s="1"/>
  <c r="AA529" i="3" l="1"/>
  <c r="P529" i="3"/>
  <c r="Q529" i="3" s="1"/>
  <c r="R529" i="3" s="1"/>
  <c r="S529" i="3" s="1"/>
  <c r="AD529" i="3"/>
  <c r="AC529" i="3"/>
  <c r="Z529" i="3"/>
  <c r="L528" i="3"/>
  <c r="W528" i="3"/>
  <c r="T529" i="3" l="1"/>
  <c r="AG529" i="3" s="1"/>
  <c r="U528" i="3"/>
  <c r="Y527" i="3"/>
  <c r="E529" i="3" l="1"/>
  <c r="H529" i="3" s="1"/>
  <c r="K529" i="3" s="1"/>
  <c r="AE529" i="3" s="1"/>
  <c r="D529" i="3"/>
  <c r="AH529" i="3"/>
  <c r="F529" i="3" l="1"/>
  <c r="G529" i="3"/>
  <c r="I529" i="3" s="1"/>
  <c r="V529" i="3"/>
  <c r="A530" i="3"/>
  <c r="B530" i="3" s="1"/>
  <c r="W529" i="3" l="1"/>
  <c r="M529" i="3"/>
  <c r="N529" i="3" s="1"/>
  <c r="J529" i="3"/>
  <c r="L529" i="3" s="1"/>
  <c r="AC530" i="3"/>
  <c r="AA530" i="3"/>
  <c r="AD530" i="3"/>
  <c r="P530" i="3"/>
  <c r="Q530" i="3" s="1"/>
  <c r="R530" i="3" s="1"/>
  <c r="S530" i="3" s="1"/>
  <c r="Z530" i="3"/>
  <c r="T530" i="3" l="1"/>
  <c r="AH530" i="3" s="1"/>
  <c r="U529" i="3"/>
  <c r="Y528" i="3"/>
  <c r="E530" i="3" l="1"/>
  <c r="H530" i="3" s="1"/>
  <c r="K530" i="3" s="1"/>
  <c r="AE530" i="3" s="1"/>
  <c r="AG530" i="3"/>
  <c r="D530" i="3"/>
  <c r="F530" i="3" l="1"/>
  <c r="G530" i="3"/>
  <c r="V530" i="3"/>
  <c r="A531" i="3"/>
  <c r="B531" i="3" s="1"/>
  <c r="Z531" i="3" l="1"/>
  <c r="AD531" i="3"/>
  <c r="AC531" i="3"/>
  <c r="AA531" i="3"/>
  <c r="P531" i="3"/>
  <c r="Q531" i="3" s="1"/>
  <c r="R531" i="3" s="1"/>
  <c r="S531" i="3" s="1"/>
  <c r="I530" i="3"/>
  <c r="W530" i="3" s="1"/>
  <c r="J530" i="3"/>
  <c r="M530" i="3"/>
  <c r="N530" i="3" s="1"/>
  <c r="T531" i="3" l="1"/>
  <c r="L530" i="3"/>
  <c r="U530" i="3" l="1"/>
  <c r="D531" i="3" s="1"/>
  <c r="AH531" i="3"/>
  <c r="AG531" i="3"/>
  <c r="Y529" i="3"/>
  <c r="E531" i="3" l="1"/>
  <c r="H531" i="3" s="1"/>
  <c r="K531" i="3" s="1"/>
  <c r="AE531" i="3" s="1"/>
  <c r="G531" i="3"/>
  <c r="F531" i="3" l="1"/>
  <c r="I531" i="3"/>
  <c r="J531" i="3"/>
  <c r="M531" i="3"/>
  <c r="N531" i="3" s="1"/>
  <c r="V531" i="3"/>
  <c r="A532" i="3"/>
  <c r="B532" i="3" s="1"/>
  <c r="W531" i="3" l="1"/>
  <c r="Z532" i="3"/>
  <c r="AA532" i="3"/>
  <c r="P532" i="3"/>
  <c r="Q532" i="3" s="1"/>
  <c r="R532" i="3" s="1"/>
  <c r="S532" i="3" s="1"/>
  <c r="AD532" i="3"/>
  <c r="AC532" i="3"/>
  <c r="L531" i="3"/>
  <c r="T532" i="3" l="1"/>
  <c r="AH532" i="3" s="1"/>
  <c r="U531" i="3"/>
  <c r="Y530" i="3"/>
  <c r="D532" i="3" l="1"/>
  <c r="G532" i="3" s="1"/>
  <c r="AG532" i="3"/>
  <c r="E532" i="3"/>
  <c r="H532" i="3" s="1"/>
  <c r="K532" i="3" s="1"/>
  <c r="AE532" i="3" s="1"/>
  <c r="F532" i="3" l="1"/>
  <c r="I532" i="3"/>
  <c r="J532" i="3"/>
  <c r="M532" i="3"/>
  <c r="N532" i="3" s="1"/>
  <c r="V532" i="3"/>
  <c r="A533" i="3"/>
  <c r="B533" i="3" s="1"/>
  <c r="W532" i="3" l="1"/>
  <c r="AA533" i="3"/>
  <c r="AC533" i="3"/>
  <c r="Z533" i="3"/>
  <c r="AD533" i="3"/>
  <c r="P533" i="3"/>
  <c r="Q533" i="3" s="1"/>
  <c r="R533" i="3" s="1"/>
  <c r="S533" i="3" s="1"/>
  <c r="L532" i="3"/>
  <c r="T533" i="3" l="1"/>
  <c r="AH533" i="3" s="1"/>
  <c r="U532" i="3"/>
  <c r="Y531" i="3"/>
  <c r="AG533" i="3" l="1"/>
  <c r="E533" i="3"/>
  <c r="H533" i="3" s="1"/>
  <c r="K533" i="3" s="1"/>
  <c r="AE533" i="3" s="1"/>
  <c r="D533" i="3"/>
  <c r="F533" i="3" l="1"/>
  <c r="G533" i="3"/>
  <c r="I533" i="3" s="1"/>
  <c r="V533" i="3"/>
  <c r="A534" i="3"/>
  <c r="B534" i="3" s="1"/>
  <c r="W533" i="3" l="1"/>
  <c r="J533" i="3"/>
  <c r="L533" i="3" s="1"/>
  <c r="M533" i="3"/>
  <c r="N533" i="3" s="1"/>
  <c r="Z534" i="3"/>
  <c r="AC534" i="3"/>
  <c r="P534" i="3"/>
  <c r="Q534" i="3" s="1"/>
  <c r="R534" i="3" s="1"/>
  <c r="S534" i="3" s="1"/>
  <c r="AA534" i="3"/>
  <c r="T534" i="3" l="1"/>
  <c r="AG534" i="3" s="1"/>
  <c r="U533" i="3"/>
  <c r="Y532" i="3"/>
  <c r="AH534" i="3" l="1"/>
  <c r="E534" i="3"/>
  <c r="H534" i="3" s="1"/>
  <c r="K534" i="3" s="1"/>
  <c r="AE534" i="3" s="1"/>
  <c r="D534" i="3"/>
  <c r="F534" i="3" l="1"/>
  <c r="G534" i="3"/>
  <c r="I534" i="3" s="1"/>
  <c r="V534" i="3"/>
  <c r="A535" i="3"/>
  <c r="B535" i="3" s="1"/>
  <c r="M534" i="3" l="1"/>
  <c r="N534" i="3" s="1"/>
  <c r="J534" i="3"/>
  <c r="AD534" i="3" s="1"/>
  <c r="W534" i="3"/>
  <c r="Z535" i="3"/>
  <c r="AC535" i="3"/>
  <c r="AD535" i="3"/>
  <c r="P535" i="3"/>
  <c r="Q535" i="3" s="1"/>
  <c r="R535" i="3" s="1"/>
  <c r="S535" i="3" s="1"/>
  <c r="AA535" i="3"/>
  <c r="L534" i="3" l="1"/>
  <c r="U534" i="3" s="1"/>
  <c r="T535" i="3"/>
  <c r="Y533" i="3" l="1"/>
  <c r="AH535" i="3"/>
  <c r="E535" i="3"/>
  <c r="H535" i="3" s="1"/>
  <c r="K535" i="3" s="1"/>
  <c r="AE535" i="3" s="1"/>
  <c r="AG535" i="3"/>
  <c r="D535" i="3"/>
  <c r="F535" i="3" l="1"/>
  <c r="G535" i="3"/>
  <c r="V535" i="3"/>
  <c r="A536" i="3"/>
  <c r="B536" i="3" s="1"/>
  <c r="AD536" i="3" l="1"/>
  <c r="AC536" i="3"/>
  <c r="Z536" i="3"/>
  <c r="P536" i="3"/>
  <c r="Q536" i="3" s="1"/>
  <c r="R536" i="3" s="1"/>
  <c r="S536" i="3" s="1"/>
  <c r="AA536" i="3"/>
  <c r="I535" i="3"/>
  <c r="W535" i="3" s="1"/>
  <c r="J535" i="3"/>
  <c r="M535" i="3"/>
  <c r="N535" i="3" s="1"/>
  <c r="T536" i="3" l="1"/>
  <c r="L535" i="3"/>
  <c r="U535" i="3" l="1"/>
  <c r="E536" i="3" s="1"/>
  <c r="H536" i="3" s="1"/>
  <c r="AG536" i="3"/>
  <c r="AH536" i="3"/>
  <c r="Y534" i="3"/>
  <c r="K536" i="3" l="1"/>
  <c r="AE536" i="3" s="1"/>
  <c r="D536" i="3"/>
  <c r="F536" i="3" l="1"/>
  <c r="G536" i="3"/>
  <c r="V536" i="3"/>
  <c r="A537" i="3"/>
  <c r="B537" i="3" s="1"/>
  <c r="P537" i="3" l="1"/>
  <c r="Q537" i="3" s="1"/>
  <c r="R537" i="3" s="1"/>
  <c r="S537" i="3" s="1"/>
  <c r="Z537" i="3"/>
  <c r="AD537" i="3"/>
  <c r="AA537" i="3"/>
  <c r="AC537" i="3"/>
  <c r="I536" i="3"/>
  <c r="W536" i="3" s="1"/>
  <c r="J536" i="3"/>
  <c r="M536" i="3"/>
  <c r="N536" i="3" s="1"/>
  <c r="L536" i="3" l="1"/>
  <c r="T537" i="3"/>
  <c r="U536" i="3" l="1"/>
  <c r="E537" i="3" s="1"/>
  <c r="H537" i="3" s="1"/>
  <c r="AG537" i="3"/>
  <c r="AH537" i="3"/>
  <c r="Y535" i="3"/>
  <c r="D537" i="3" l="1"/>
  <c r="F537" i="3" s="1"/>
  <c r="K537" i="3"/>
  <c r="AE537" i="3" s="1"/>
  <c r="G537" i="3" l="1"/>
  <c r="I537" i="3" s="1"/>
  <c r="V537" i="3"/>
  <c r="A538" i="3"/>
  <c r="B538" i="3" s="1"/>
  <c r="M537" i="3" l="1"/>
  <c r="N537" i="3" s="1"/>
  <c r="J537" i="3"/>
  <c r="L537" i="3" s="1"/>
  <c r="W537" i="3"/>
  <c r="Z538" i="3"/>
  <c r="P538" i="3"/>
  <c r="Q538" i="3" s="1"/>
  <c r="R538" i="3" s="1"/>
  <c r="S538" i="3" s="1"/>
  <c r="AA538" i="3"/>
  <c r="AC538" i="3"/>
  <c r="AD538" i="3"/>
  <c r="T538" i="3" l="1"/>
  <c r="AG538" i="3" s="1"/>
  <c r="U537" i="3"/>
  <c r="Y536" i="3"/>
  <c r="E538" i="3" l="1"/>
  <c r="H538" i="3" s="1"/>
  <c r="K538" i="3" s="1"/>
  <c r="AE538" i="3" s="1"/>
  <c r="AH538" i="3"/>
  <c r="D538" i="3"/>
  <c r="F538" i="3" l="1"/>
  <c r="G538" i="3"/>
  <c r="I538" i="3" s="1"/>
  <c r="V538" i="3"/>
  <c r="A539" i="3"/>
  <c r="B539" i="3" s="1"/>
  <c r="M538" i="3" l="1"/>
  <c r="N538" i="3" s="1"/>
  <c r="J538" i="3"/>
  <c r="L538" i="3" s="1"/>
  <c r="W538" i="3"/>
  <c r="AA539" i="3"/>
  <c r="AC539" i="3"/>
  <c r="Z539" i="3"/>
  <c r="AD539" i="3"/>
  <c r="P539" i="3"/>
  <c r="Q539" i="3" s="1"/>
  <c r="R539" i="3" s="1"/>
  <c r="S539" i="3" s="1"/>
  <c r="T539" i="3" l="1"/>
  <c r="AG539" i="3" s="1"/>
  <c r="U538" i="3"/>
  <c r="Y537" i="3"/>
  <c r="AH539" i="3" l="1"/>
  <c r="D539" i="3"/>
  <c r="G539" i="3" s="1"/>
  <c r="E539" i="3"/>
  <c r="H539" i="3" s="1"/>
  <c r="K539" i="3" s="1"/>
  <c r="AE539" i="3" s="1"/>
  <c r="F539" i="3" l="1"/>
  <c r="I539" i="3"/>
  <c r="J539" i="3"/>
  <c r="M539" i="3"/>
  <c r="N539" i="3" s="1"/>
  <c r="V539" i="3"/>
  <c r="A540" i="3"/>
  <c r="B540" i="3" s="1"/>
  <c r="W539" i="3" l="1"/>
  <c r="Z540" i="3"/>
  <c r="P540" i="3"/>
  <c r="Q540" i="3" s="1"/>
  <c r="R540" i="3" s="1"/>
  <c r="S540" i="3" s="1"/>
  <c r="AC540" i="3"/>
  <c r="AA540" i="3"/>
  <c r="AD540" i="3"/>
  <c r="L539" i="3"/>
  <c r="U539" i="3" l="1"/>
  <c r="Y538" i="3"/>
  <c r="T540" i="3"/>
  <c r="D540" i="3" l="1"/>
  <c r="G540" i="3" s="1"/>
  <c r="E540" i="3"/>
  <c r="H540" i="3" s="1"/>
  <c r="AG540" i="3"/>
  <c r="AH540" i="3"/>
  <c r="K540" i="3" l="1"/>
  <c r="AE540" i="3" s="1"/>
  <c r="I540" i="3"/>
  <c r="J540" i="3"/>
  <c r="M540" i="3"/>
  <c r="N540" i="3" s="1"/>
  <c r="F540" i="3"/>
  <c r="L540" i="3" l="1"/>
  <c r="V540" i="3"/>
  <c r="W540" i="3" s="1"/>
  <c r="A541" i="3"/>
  <c r="B541" i="3" s="1"/>
  <c r="AA541" i="3" l="1"/>
  <c r="AD541" i="3"/>
  <c r="Z541" i="3"/>
  <c r="AC541" i="3"/>
  <c r="P541" i="3"/>
  <c r="Q541" i="3" s="1"/>
  <c r="R541" i="3" s="1"/>
  <c r="S541" i="3" s="1"/>
  <c r="U540" i="3"/>
  <c r="Y539" i="3"/>
  <c r="T541" i="3" l="1"/>
  <c r="D541" i="3" s="1"/>
  <c r="E541" i="3" l="1"/>
  <c r="H541" i="3" s="1"/>
  <c r="K541" i="3" s="1"/>
  <c r="AE541" i="3" s="1"/>
  <c r="AH541" i="3"/>
  <c r="AG541" i="3"/>
  <c r="G541" i="3"/>
  <c r="F541" i="3" l="1"/>
  <c r="V541" i="3"/>
  <c r="A542" i="3"/>
  <c r="B542" i="3" s="1"/>
  <c r="I541" i="3"/>
  <c r="J541" i="3"/>
  <c r="M541" i="3"/>
  <c r="N541" i="3" s="1"/>
  <c r="L541" i="3" l="1"/>
  <c r="P542" i="3"/>
  <c r="Q542" i="3" s="1"/>
  <c r="R542" i="3" s="1"/>
  <c r="S542" i="3" s="1"/>
  <c r="AA542" i="3"/>
  <c r="Z542" i="3"/>
  <c r="AD542" i="3"/>
  <c r="AC542" i="3"/>
  <c r="W541" i="3"/>
  <c r="T542" i="3" l="1"/>
  <c r="AH542" i="3" s="1"/>
  <c r="U541" i="3"/>
  <c r="Y540" i="3"/>
  <c r="D542" i="3" l="1"/>
  <c r="G542" i="3" s="1"/>
  <c r="AG542" i="3"/>
  <c r="E542" i="3"/>
  <c r="H542" i="3" s="1"/>
  <c r="K542" i="3" s="1"/>
  <c r="AE542" i="3" s="1"/>
  <c r="F542" i="3" l="1"/>
  <c r="V542" i="3"/>
  <c r="A543" i="3"/>
  <c r="B543" i="3" s="1"/>
  <c r="I542" i="3"/>
  <c r="J542" i="3"/>
  <c r="M542" i="3"/>
  <c r="N542" i="3" s="1"/>
  <c r="L542" i="3" l="1"/>
  <c r="AC543" i="3"/>
  <c r="P543" i="3"/>
  <c r="Q543" i="3" s="1"/>
  <c r="R543" i="3" s="1"/>
  <c r="S543" i="3" s="1"/>
  <c r="AA543" i="3"/>
  <c r="Z543" i="3"/>
  <c r="AD543" i="3"/>
  <c r="W542" i="3"/>
  <c r="T543" i="3" l="1"/>
  <c r="AH543" i="3" s="1"/>
  <c r="U542" i="3"/>
  <c r="Y541" i="3"/>
  <c r="D543" i="3" l="1"/>
  <c r="G543" i="3" s="1"/>
  <c r="AG543" i="3"/>
  <c r="E543" i="3"/>
  <c r="H543" i="3" s="1"/>
  <c r="K543" i="3" s="1"/>
  <c r="AE543" i="3" s="1"/>
  <c r="F543" i="3" l="1"/>
  <c r="V543" i="3"/>
  <c r="A544" i="3"/>
  <c r="B544" i="3" s="1"/>
  <c r="I543" i="3"/>
  <c r="J543" i="3"/>
  <c r="M543" i="3"/>
  <c r="N543" i="3" s="1"/>
  <c r="L543" i="3" l="1"/>
  <c r="P544" i="3"/>
  <c r="Q544" i="3" s="1"/>
  <c r="R544" i="3" s="1"/>
  <c r="S544" i="3" s="1"/>
  <c r="AA544" i="3"/>
  <c r="AC544" i="3"/>
  <c r="Z544" i="3"/>
  <c r="W543" i="3"/>
  <c r="T544" i="3" l="1"/>
  <c r="AG544" i="3" s="1"/>
  <c r="U543" i="3"/>
  <c r="Y542" i="3"/>
  <c r="E544" i="3" l="1"/>
  <c r="H544" i="3" s="1"/>
  <c r="K544" i="3" s="1"/>
  <c r="AE544" i="3" s="1"/>
  <c r="AH544" i="3"/>
  <c r="D544" i="3"/>
  <c r="F544" i="3" l="1"/>
  <c r="G544" i="3"/>
  <c r="I544" i="3" s="1"/>
  <c r="V544" i="3"/>
  <c r="A545" i="3"/>
  <c r="B545" i="3" s="1"/>
  <c r="M544" i="3" l="1"/>
  <c r="N544" i="3" s="1"/>
  <c r="J544" i="3"/>
  <c r="AD544" i="3" s="1"/>
  <c r="W544" i="3"/>
  <c r="P545" i="3"/>
  <c r="Q545" i="3" s="1"/>
  <c r="R545" i="3" s="1"/>
  <c r="S545" i="3" s="1"/>
  <c r="AD545" i="3"/>
  <c r="Z545" i="3"/>
  <c r="AC545" i="3"/>
  <c r="AA545" i="3"/>
  <c r="L544" i="3" l="1"/>
  <c r="U544" i="3" s="1"/>
  <c r="T545" i="3"/>
  <c r="Y543" i="3" l="1"/>
  <c r="AH545" i="3"/>
  <c r="D545" i="3"/>
  <c r="G545" i="3" s="1"/>
  <c r="AG545" i="3"/>
  <c r="E545" i="3"/>
  <c r="H545" i="3" s="1"/>
  <c r="K545" i="3" s="1"/>
  <c r="AE545" i="3" s="1"/>
  <c r="F545" i="3" l="1"/>
  <c r="I545" i="3"/>
  <c r="J545" i="3"/>
  <c r="M545" i="3"/>
  <c r="N545" i="3" s="1"/>
  <c r="V545" i="3"/>
  <c r="A546" i="3"/>
  <c r="B546" i="3" s="1"/>
  <c r="W545" i="3" l="1"/>
  <c r="Z546" i="3"/>
  <c r="AA546" i="3"/>
  <c r="AD546" i="3"/>
  <c r="P546" i="3"/>
  <c r="Q546" i="3" s="1"/>
  <c r="R546" i="3" s="1"/>
  <c r="S546" i="3" s="1"/>
  <c r="AC546" i="3"/>
  <c r="L545" i="3"/>
  <c r="T546" i="3" l="1"/>
  <c r="AG546" i="3" s="1"/>
  <c r="U545" i="3"/>
  <c r="Y544" i="3"/>
  <c r="E546" i="3" l="1"/>
  <c r="H546" i="3" s="1"/>
  <c r="K546" i="3" s="1"/>
  <c r="AE546" i="3" s="1"/>
  <c r="AH546" i="3"/>
  <c r="D546" i="3"/>
  <c r="V546" i="3" l="1"/>
  <c r="A547" i="3"/>
  <c r="B547" i="3" s="1"/>
  <c r="F546" i="3"/>
  <c r="G546" i="3"/>
  <c r="I546" i="3" l="1"/>
  <c r="W546" i="3" s="1"/>
  <c r="J546" i="3"/>
  <c r="M546" i="3"/>
  <c r="N546" i="3" s="1"/>
  <c r="AA547" i="3"/>
  <c r="AC547" i="3"/>
  <c r="AD547" i="3"/>
  <c r="Z547" i="3"/>
  <c r="P547" i="3"/>
  <c r="Q547" i="3" s="1"/>
  <c r="R547" i="3" s="1"/>
  <c r="S547" i="3" s="1"/>
  <c r="T547" i="3" l="1"/>
  <c r="L546" i="3"/>
  <c r="U546" i="3" l="1"/>
  <c r="E547" i="3" s="1"/>
  <c r="H547" i="3" s="1"/>
  <c r="AH547" i="3"/>
  <c r="AG547" i="3"/>
  <c r="Y545" i="3"/>
  <c r="D547" i="3" l="1"/>
  <c r="F547" i="3" s="1"/>
  <c r="K547" i="3"/>
  <c r="AE547" i="3" s="1"/>
  <c r="G547" i="3" l="1"/>
  <c r="M547" i="3" s="1"/>
  <c r="N547" i="3" s="1"/>
  <c r="V547" i="3"/>
  <c r="A548" i="3"/>
  <c r="B548" i="3" s="1"/>
  <c r="J547" i="3" l="1"/>
  <c r="L547" i="3" s="1"/>
  <c r="I547" i="3"/>
  <c r="W547" i="3" s="1"/>
  <c r="AC548" i="3"/>
  <c r="P548" i="3"/>
  <c r="Q548" i="3" s="1"/>
  <c r="R548" i="3" s="1"/>
  <c r="S548" i="3" s="1"/>
  <c r="AD548" i="3"/>
  <c r="Z548" i="3"/>
  <c r="AA548" i="3"/>
  <c r="T548" i="3" l="1"/>
  <c r="AH548" i="3" s="1"/>
  <c r="U547" i="3"/>
  <c r="Y546" i="3"/>
  <c r="E548" i="3" l="1"/>
  <c r="H548" i="3" s="1"/>
  <c r="K548" i="3" s="1"/>
  <c r="AE548" i="3" s="1"/>
  <c r="AG548" i="3"/>
  <c r="D548" i="3"/>
  <c r="G548" i="3" s="1"/>
  <c r="F548" i="3" l="1"/>
  <c r="I548" i="3"/>
  <c r="J548" i="3"/>
  <c r="M548" i="3"/>
  <c r="N548" i="3" s="1"/>
  <c r="V548" i="3"/>
  <c r="A549" i="3"/>
  <c r="B549" i="3" s="1"/>
  <c r="W548" i="3" l="1"/>
  <c r="AA549" i="3"/>
  <c r="P549" i="3"/>
  <c r="Q549" i="3" s="1"/>
  <c r="R549" i="3" s="1"/>
  <c r="S549" i="3" s="1"/>
  <c r="Z549" i="3"/>
  <c r="AC549" i="3"/>
  <c r="AD549" i="3"/>
  <c r="L548" i="3"/>
  <c r="U548" i="3" l="1"/>
  <c r="Y547" i="3"/>
  <c r="T549" i="3"/>
  <c r="D549" i="3" l="1"/>
  <c r="G549" i="3" s="1"/>
  <c r="AG549" i="3"/>
  <c r="AH549" i="3"/>
  <c r="E549" i="3"/>
  <c r="H549" i="3" s="1"/>
  <c r="K549" i="3" l="1"/>
  <c r="AE549" i="3" s="1"/>
  <c r="I549" i="3"/>
  <c r="J549" i="3"/>
  <c r="M549" i="3"/>
  <c r="N549" i="3" s="1"/>
  <c r="F549" i="3"/>
  <c r="L549" i="3" l="1"/>
  <c r="V549" i="3"/>
  <c r="W549" i="3" s="1"/>
  <c r="A550" i="3"/>
  <c r="B550" i="3" s="1"/>
  <c r="U549" i="3" l="1"/>
  <c r="Y548" i="3"/>
  <c r="AC550" i="3"/>
  <c r="Z550" i="3"/>
  <c r="AD550" i="3"/>
  <c r="P550" i="3"/>
  <c r="Q550" i="3" s="1"/>
  <c r="R550" i="3" s="1"/>
  <c r="S550" i="3" s="1"/>
  <c r="AA550" i="3"/>
  <c r="T550" i="3" l="1"/>
  <c r="E550" i="3" s="1"/>
  <c r="H550" i="3" s="1"/>
  <c r="AH550" i="3" l="1"/>
  <c r="AG550" i="3"/>
  <c r="K550" i="3"/>
  <c r="AE550" i="3" s="1"/>
  <c r="D550" i="3"/>
  <c r="F550" i="3" l="1"/>
  <c r="G550" i="3"/>
  <c r="V550" i="3"/>
  <c r="A551" i="3"/>
  <c r="B551" i="3" s="1"/>
  <c r="AC551" i="3" l="1"/>
  <c r="AA551" i="3"/>
  <c r="P551" i="3"/>
  <c r="Q551" i="3" s="1"/>
  <c r="R551" i="3" s="1"/>
  <c r="S551" i="3" s="1"/>
  <c r="AD551" i="3"/>
  <c r="Z551" i="3"/>
  <c r="I550" i="3"/>
  <c r="W550" i="3" s="1"/>
  <c r="J550" i="3"/>
  <c r="M550" i="3"/>
  <c r="N550" i="3" s="1"/>
  <c r="T551" i="3" l="1"/>
  <c r="L550" i="3"/>
  <c r="AH551" i="3" l="1"/>
  <c r="AG551" i="3"/>
  <c r="U550" i="3"/>
  <c r="E551" i="3" s="1"/>
  <c r="H551" i="3" s="1"/>
  <c r="Y549" i="3"/>
  <c r="K551" i="3" l="1"/>
  <c r="AE551" i="3" s="1"/>
  <c r="D551" i="3"/>
  <c r="F551" i="3" l="1"/>
  <c r="G551" i="3"/>
  <c r="V551" i="3"/>
  <c r="A552" i="3"/>
  <c r="B552" i="3" s="1"/>
  <c r="P552" i="3" l="1"/>
  <c r="Q552" i="3" s="1"/>
  <c r="R552" i="3" s="1"/>
  <c r="S552" i="3" s="1"/>
  <c r="AD552" i="3"/>
  <c r="AA552" i="3"/>
  <c r="AC552" i="3"/>
  <c r="Z552" i="3"/>
  <c r="I551" i="3"/>
  <c r="W551" i="3" s="1"/>
  <c r="J551" i="3"/>
  <c r="M551" i="3"/>
  <c r="N551" i="3" s="1"/>
  <c r="L551" i="3" l="1"/>
  <c r="T552" i="3"/>
  <c r="AG552" i="3" l="1"/>
  <c r="U551" i="3"/>
  <c r="E552" i="3" s="1"/>
  <c r="H552" i="3" s="1"/>
  <c r="AH552" i="3"/>
  <c r="Y550" i="3"/>
  <c r="D552" i="3" l="1"/>
  <c r="F552" i="3" s="1"/>
  <c r="K552" i="3"/>
  <c r="AE552" i="3" s="1"/>
  <c r="G552" i="3" l="1"/>
  <c r="M552" i="3" s="1"/>
  <c r="N552" i="3" s="1"/>
  <c r="V552" i="3"/>
  <c r="A553" i="3"/>
  <c r="B553" i="3" s="1"/>
  <c r="J552" i="3" l="1"/>
  <c r="L552" i="3" s="1"/>
  <c r="I552" i="3"/>
  <c r="W552" i="3" s="1"/>
  <c r="AD553" i="3"/>
  <c r="P553" i="3"/>
  <c r="Q553" i="3" s="1"/>
  <c r="R553" i="3" s="1"/>
  <c r="S553" i="3" s="1"/>
  <c r="AA553" i="3"/>
  <c r="Z553" i="3"/>
  <c r="AC553" i="3"/>
  <c r="U552" i="3" l="1"/>
  <c r="Y551" i="3"/>
  <c r="T553" i="3"/>
  <c r="D553" i="3" l="1"/>
  <c r="G553" i="3" s="1"/>
  <c r="AH553" i="3"/>
  <c r="E553" i="3"/>
  <c r="H553" i="3" s="1"/>
  <c r="K553" i="3" s="1"/>
  <c r="AE553" i="3" s="1"/>
  <c r="AG553" i="3"/>
  <c r="F553" i="3" l="1"/>
  <c r="V553" i="3"/>
  <c r="A554" i="3"/>
  <c r="B554" i="3" s="1"/>
  <c r="I553" i="3"/>
  <c r="J553" i="3"/>
  <c r="M553" i="3"/>
  <c r="N553" i="3" s="1"/>
  <c r="L553" i="3" l="1"/>
  <c r="Z554" i="3"/>
  <c r="AA554" i="3"/>
  <c r="AC554" i="3"/>
  <c r="P554" i="3"/>
  <c r="Q554" i="3" s="1"/>
  <c r="R554" i="3" s="1"/>
  <c r="S554" i="3" s="1"/>
  <c r="W553" i="3"/>
  <c r="T554" i="3" l="1"/>
  <c r="AG554" i="3" s="1"/>
  <c r="U553" i="3"/>
  <c r="Y552" i="3"/>
  <c r="D554" i="3" l="1"/>
  <c r="G554" i="3" s="1"/>
  <c r="AH554" i="3"/>
  <c r="E554" i="3"/>
  <c r="H554" i="3" s="1"/>
  <c r="K554" i="3" s="1"/>
  <c r="AE554" i="3" s="1"/>
  <c r="F554" i="3" l="1"/>
  <c r="V554" i="3"/>
  <c r="A555" i="3"/>
  <c r="B555" i="3" s="1"/>
  <c r="I554" i="3"/>
  <c r="J554" i="3"/>
  <c r="AD554" i="3" s="1"/>
  <c r="M554" i="3"/>
  <c r="N554" i="3" s="1"/>
  <c r="L554" i="3" l="1"/>
  <c r="Z555" i="3"/>
  <c r="AC555" i="3"/>
  <c r="P555" i="3"/>
  <c r="Q555" i="3" s="1"/>
  <c r="R555" i="3" s="1"/>
  <c r="S555" i="3" s="1"/>
  <c r="AA555" i="3"/>
  <c r="AD555" i="3"/>
  <c r="W554" i="3"/>
  <c r="T555" i="3" l="1"/>
  <c r="AG555" i="3" s="1"/>
  <c r="U554" i="3"/>
  <c r="Y553" i="3"/>
  <c r="AH555" i="3" l="1"/>
  <c r="D555" i="3"/>
  <c r="G555" i="3" s="1"/>
  <c r="E555" i="3"/>
  <c r="H555" i="3" s="1"/>
  <c r="K555" i="3" l="1"/>
  <c r="AE555" i="3" s="1"/>
  <c r="I555" i="3"/>
  <c r="J555" i="3"/>
  <c r="M555" i="3"/>
  <c r="N555" i="3" s="1"/>
  <c r="F555" i="3"/>
  <c r="V555" i="3" l="1"/>
  <c r="W555" i="3" s="1"/>
  <c r="A556" i="3"/>
  <c r="B556" i="3" s="1"/>
  <c r="L555" i="3"/>
  <c r="U555" i="3" l="1"/>
  <c r="Y554" i="3"/>
  <c r="P556" i="3"/>
  <c r="Q556" i="3" s="1"/>
  <c r="R556" i="3" s="1"/>
  <c r="S556" i="3" s="1"/>
  <c r="AA556" i="3"/>
  <c r="AD556" i="3"/>
  <c r="Z556" i="3"/>
  <c r="AC556" i="3"/>
  <c r="T556" i="3" l="1"/>
  <c r="D556" i="3" s="1"/>
  <c r="AH556" i="3" l="1"/>
  <c r="E556" i="3"/>
  <c r="H556" i="3" s="1"/>
  <c r="K556" i="3" s="1"/>
  <c r="AE556" i="3" s="1"/>
  <c r="AG556" i="3"/>
  <c r="G556" i="3"/>
  <c r="F556" i="3" l="1"/>
  <c r="V556" i="3"/>
  <c r="A557" i="3"/>
  <c r="B557" i="3" s="1"/>
  <c r="I556" i="3"/>
  <c r="J556" i="3"/>
  <c r="M556" i="3"/>
  <c r="N556" i="3" s="1"/>
  <c r="W556" i="3" l="1"/>
  <c r="L556" i="3"/>
  <c r="AC557" i="3"/>
  <c r="Z557" i="3"/>
  <c r="AD557" i="3"/>
  <c r="AA557" i="3"/>
  <c r="P557" i="3"/>
  <c r="Q557" i="3" s="1"/>
  <c r="R557" i="3" s="1"/>
  <c r="S557" i="3" s="1"/>
  <c r="T557" i="3" l="1"/>
  <c r="AG557" i="3" s="1"/>
  <c r="U556" i="3"/>
  <c r="Y555" i="3"/>
  <c r="D557" i="3" l="1"/>
  <c r="G557" i="3" s="1"/>
  <c r="AH557" i="3"/>
  <c r="E557" i="3"/>
  <c r="H557" i="3" s="1"/>
  <c r="K557" i="3" s="1"/>
  <c r="AE557" i="3" s="1"/>
  <c r="F557" i="3" l="1"/>
  <c r="V557" i="3"/>
  <c r="A558" i="3"/>
  <c r="B558" i="3" s="1"/>
  <c r="I557" i="3"/>
  <c r="J557" i="3"/>
  <c r="M557" i="3"/>
  <c r="N557" i="3" s="1"/>
  <c r="W557" i="3" l="1"/>
  <c r="L557" i="3"/>
  <c r="P558" i="3"/>
  <c r="Q558" i="3" s="1"/>
  <c r="R558" i="3" s="1"/>
  <c r="S558" i="3" s="1"/>
  <c r="AD558" i="3"/>
  <c r="Z558" i="3"/>
  <c r="AA558" i="3"/>
  <c r="AC558" i="3"/>
  <c r="T558" i="3" l="1"/>
  <c r="AG558" i="3" s="1"/>
  <c r="U557" i="3"/>
  <c r="Y556" i="3"/>
  <c r="AH558" i="3" l="1"/>
  <c r="E558" i="3"/>
  <c r="H558" i="3" s="1"/>
  <c r="K558" i="3" s="1"/>
  <c r="AE558" i="3" s="1"/>
  <c r="D558" i="3"/>
  <c r="F558" i="3" l="1"/>
  <c r="G558" i="3"/>
  <c r="I558" i="3" s="1"/>
  <c r="V558" i="3"/>
  <c r="A559" i="3"/>
  <c r="B559" i="3" s="1"/>
  <c r="M558" i="3" l="1"/>
  <c r="N558" i="3" s="1"/>
  <c r="J558" i="3"/>
  <c r="L558" i="3" s="1"/>
  <c r="AA559" i="3"/>
  <c r="Z559" i="3"/>
  <c r="AD559" i="3"/>
  <c r="AC559" i="3"/>
  <c r="P559" i="3"/>
  <c r="Q559" i="3" s="1"/>
  <c r="R559" i="3" s="1"/>
  <c r="S559" i="3" s="1"/>
  <c r="W558" i="3"/>
  <c r="T559" i="3" l="1"/>
  <c r="AG559" i="3" s="1"/>
  <c r="U558" i="3"/>
  <c r="Y557" i="3"/>
  <c r="AH559" i="3" l="1"/>
  <c r="E559" i="3"/>
  <c r="H559" i="3" s="1"/>
  <c r="K559" i="3" s="1"/>
  <c r="AE559" i="3" s="1"/>
  <c r="D559" i="3"/>
  <c r="F559" i="3" l="1"/>
  <c r="G559" i="3"/>
  <c r="I559" i="3" s="1"/>
  <c r="V559" i="3"/>
  <c r="A560" i="3"/>
  <c r="B560" i="3" s="1"/>
  <c r="M559" i="3" l="1"/>
  <c r="N559" i="3" s="1"/>
  <c r="J559" i="3"/>
  <c r="L559" i="3" s="1"/>
  <c r="Z560" i="3"/>
  <c r="AD560" i="3"/>
  <c r="AC560" i="3"/>
  <c r="AA560" i="3"/>
  <c r="P560" i="3"/>
  <c r="Q560" i="3" s="1"/>
  <c r="R560" i="3" s="1"/>
  <c r="S560" i="3" s="1"/>
  <c r="W559" i="3"/>
  <c r="T560" i="3" l="1"/>
  <c r="AH560" i="3" s="1"/>
  <c r="U559" i="3"/>
  <c r="Y558" i="3"/>
  <c r="AG560" i="3" l="1"/>
  <c r="E560" i="3"/>
  <c r="H560" i="3" s="1"/>
  <c r="K560" i="3" s="1"/>
  <c r="AE560" i="3" s="1"/>
  <c r="D560" i="3"/>
  <c r="F560" i="3" l="1"/>
  <c r="G560" i="3"/>
  <c r="I560" i="3" s="1"/>
  <c r="V560" i="3"/>
  <c r="A561" i="3"/>
  <c r="B561" i="3" s="1"/>
  <c r="W560" i="3" l="1"/>
  <c r="J560" i="3"/>
  <c r="L560" i="3" s="1"/>
  <c r="M560" i="3"/>
  <c r="N560" i="3" s="1"/>
  <c r="AD561" i="3"/>
  <c r="AA561" i="3"/>
  <c r="P561" i="3"/>
  <c r="Q561" i="3" s="1"/>
  <c r="R561" i="3" s="1"/>
  <c r="S561" i="3" s="1"/>
  <c r="AC561" i="3"/>
  <c r="Z561" i="3"/>
  <c r="T561" i="3" l="1"/>
  <c r="AH561" i="3" s="1"/>
  <c r="U560" i="3"/>
  <c r="Y559" i="3"/>
  <c r="D561" i="3" l="1"/>
  <c r="G561" i="3" s="1"/>
  <c r="AG561" i="3"/>
  <c r="E561" i="3"/>
  <c r="H561" i="3" s="1"/>
  <c r="K561" i="3" s="1"/>
  <c r="AE561" i="3" s="1"/>
  <c r="F561" i="3" l="1"/>
  <c r="V561" i="3"/>
  <c r="A562" i="3"/>
  <c r="B562" i="3" s="1"/>
  <c r="I561" i="3"/>
  <c r="J561" i="3"/>
  <c r="M561" i="3"/>
  <c r="N561" i="3" s="1"/>
  <c r="L561" i="3" l="1"/>
  <c r="W561" i="3"/>
  <c r="AC562" i="3"/>
  <c r="Z562" i="3"/>
  <c r="AA562" i="3"/>
  <c r="AD562" i="3"/>
  <c r="P562" i="3"/>
  <c r="Q562" i="3" s="1"/>
  <c r="R562" i="3" s="1"/>
  <c r="S562" i="3" s="1"/>
  <c r="U561" i="3" l="1"/>
  <c r="Y560" i="3"/>
  <c r="T562" i="3"/>
  <c r="AG562" i="3" s="1"/>
  <c r="E562" i="3" l="1"/>
  <c r="H562" i="3" s="1"/>
  <c r="K562" i="3" s="1"/>
  <c r="AE562" i="3" s="1"/>
  <c r="D562" i="3"/>
  <c r="G562" i="3" s="1"/>
  <c r="AH562" i="3"/>
  <c r="F562" i="3" l="1"/>
  <c r="I562" i="3"/>
  <c r="J562" i="3"/>
  <c r="M562" i="3"/>
  <c r="N562" i="3" s="1"/>
  <c r="V562" i="3"/>
  <c r="W562" i="3" s="1"/>
  <c r="A563" i="3"/>
  <c r="B563" i="3" s="1"/>
  <c r="Z563" i="3" l="1"/>
  <c r="AC563" i="3"/>
  <c r="AA563" i="3"/>
  <c r="AD563" i="3"/>
  <c r="P563" i="3"/>
  <c r="Q563" i="3" s="1"/>
  <c r="R563" i="3" s="1"/>
  <c r="S563" i="3" s="1"/>
  <c r="L562" i="3"/>
  <c r="T563" i="3" l="1"/>
  <c r="AH563" i="3" s="1"/>
  <c r="U562" i="3"/>
  <c r="Y561" i="3"/>
  <c r="E563" i="3" l="1"/>
  <c r="H563" i="3" s="1"/>
  <c r="K563" i="3" s="1"/>
  <c r="AE563" i="3" s="1"/>
  <c r="D563" i="3"/>
  <c r="AG563" i="3"/>
  <c r="F563" i="3" l="1"/>
  <c r="G563" i="3"/>
  <c r="I563" i="3" s="1"/>
  <c r="V563" i="3"/>
  <c r="A564" i="3"/>
  <c r="B564" i="3" s="1"/>
  <c r="M563" i="3" l="1"/>
  <c r="N563" i="3" s="1"/>
  <c r="J563" i="3"/>
  <c r="L563" i="3" s="1"/>
  <c r="P564" i="3"/>
  <c r="Q564" i="3" s="1"/>
  <c r="R564" i="3" s="1"/>
  <c r="S564" i="3" s="1"/>
  <c r="AC564" i="3"/>
  <c r="AA564" i="3"/>
  <c r="Z564" i="3"/>
  <c r="W563" i="3"/>
  <c r="T564" i="3" l="1"/>
  <c r="AH564" i="3" s="1"/>
  <c r="U563" i="3"/>
  <c r="Y562" i="3"/>
  <c r="D564" i="3" l="1"/>
  <c r="G564" i="3" s="1"/>
  <c r="AG564" i="3"/>
  <c r="E564" i="3"/>
  <c r="H564" i="3" s="1"/>
  <c r="K564" i="3" s="1"/>
  <c r="AE564" i="3" s="1"/>
  <c r="F564" i="3" l="1"/>
  <c r="V564" i="3"/>
  <c r="A565" i="3"/>
  <c r="B565" i="3" s="1"/>
  <c r="I564" i="3"/>
  <c r="J564" i="3"/>
  <c r="AD564" i="3" s="1"/>
  <c r="M564" i="3"/>
  <c r="N564" i="3" s="1"/>
  <c r="L564" i="3" l="1"/>
  <c r="AD565" i="3"/>
  <c r="Z565" i="3"/>
  <c r="AC565" i="3"/>
  <c r="AA565" i="3"/>
  <c r="P565" i="3"/>
  <c r="Q565" i="3" s="1"/>
  <c r="R565" i="3" s="1"/>
  <c r="S565" i="3" s="1"/>
  <c r="W564" i="3"/>
  <c r="T565" i="3" l="1"/>
  <c r="AH565" i="3" s="1"/>
  <c r="U564" i="3"/>
  <c r="Y563" i="3"/>
  <c r="AG565" i="3" l="1"/>
  <c r="E565" i="3"/>
  <c r="H565" i="3" s="1"/>
  <c r="K565" i="3" s="1"/>
  <c r="AE565" i="3" s="1"/>
  <c r="D565" i="3"/>
  <c r="F565" i="3" l="1"/>
  <c r="G565" i="3"/>
  <c r="I565" i="3" s="1"/>
  <c r="V565" i="3"/>
  <c r="A566" i="3"/>
  <c r="B566" i="3" s="1"/>
  <c r="M565" i="3" l="1"/>
  <c r="N565" i="3" s="1"/>
  <c r="W565" i="3"/>
  <c r="J565" i="3"/>
  <c r="L565" i="3" s="1"/>
  <c r="AC566" i="3"/>
  <c r="AD566" i="3"/>
  <c r="Z566" i="3"/>
  <c r="AA566" i="3"/>
  <c r="P566" i="3"/>
  <c r="Q566" i="3" s="1"/>
  <c r="R566" i="3" s="1"/>
  <c r="S566" i="3" s="1"/>
  <c r="T566" i="3" l="1"/>
  <c r="AH566" i="3" s="1"/>
  <c r="U565" i="3"/>
  <c r="Y564" i="3"/>
  <c r="AG566" i="3" l="1"/>
  <c r="D566" i="3"/>
  <c r="G566" i="3" s="1"/>
  <c r="E566" i="3"/>
  <c r="H566" i="3" s="1"/>
  <c r="K566" i="3" s="1"/>
  <c r="AE566" i="3" s="1"/>
  <c r="F566" i="3" l="1"/>
  <c r="I566" i="3"/>
  <c r="J566" i="3"/>
  <c r="M566" i="3"/>
  <c r="N566" i="3" s="1"/>
  <c r="V566" i="3"/>
  <c r="A567" i="3"/>
  <c r="B567" i="3" s="1"/>
  <c r="W566" i="3" l="1"/>
  <c r="P567" i="3"/>
  <c r="Q567" i="3" s="1"/>
  <c r="R567" i="3" s="1"/>
  <c r="S567" i="3" s="1"/>
  <c r="AD567" i="3"/>
  <c r="AA567" i="3"/>
  <c r="AC567" i="3"/>
  <c r="Z567" i="3"/>
  <c r="L566" i="3"/>
  <c r="T567" i="3" l="1"/>
  <c r="AG567" i="3" s="1"/>
  <c r="U566" i="3"/>
  <c r="Y565" i="3"/>
  <c r="E567" i="3" l="1"/>
  <c r="H567" i="3" s="1"/>
  <c r="K567" i="3" s="1"/>
  <c r="AE567" i="3" s="1"/>
  <c r="D567" i="3"/>
  <c r="AH567" i="3"/>
  <c r="F567" i="3" l="1"/>
  <c r="G567" i="3"/>
  <c r="I567" i="3" s="1"/>
  <c r="V567" i="3"/>
  <c r="A568" i="3"/>
  <c r="B568" i="3" s="1"/>
  <c r="M567" i="3" l="1"/>
  <c r="N567" i="3" s="1"/>
  <c r="J567" i="3"/>
  <c r="L567" i="3" s="1"/>
  <c r="W567" i="3"/>
  <c r="AA568" i="3"/>
  <c r="Z568" i="3"/>
  <c r="AC568" i="3"/>
  <c r="AD568" i="3"/>
  <c r="P568" i="3"/>
  <c r="Q568" i="3" s="1"/>
  <c r="R568" i="3" s="1"/>
  <c r="S568" i="3" s="1"/>
  <c r="T568" i="3" l="1"/>
  <c r="AG568" i="3" s="1"/>
  <c r="U567" i="3"/>
  <c r="Y566" i="3"/>
  <c r="AH568" i="3" l="1"/>
  <c r="E568" i="3"/>
  <c r="H568" i="3" s="1"/>
  <c r="K568" i="3" s="1"/>
  <c r="AE568" i="3" s="1"/>
  <c r="D568" i="3"/>
  <c r="F568" i="3" l="1"/>
  <c r="G568" i="3"/>
  <c r="I568" i="3" s="1"/>
  <c r="V568" i="3"/>
  <c r="A569" i="3"/>
  <c r="B569" i="3" s="1"/>
  <c r="M568" i="3" l="1"/>
  <c r="N568" i="3" s="1"/>
  <c r="J568" i="3"/>
  <c r="L568" i="3" s="1"/>
  <c r="P569" i="3"/>
  <c r="Q569" i="3" s="1"/>
  <c r="R569" i="3" s="1"/>
  <c r="S569" i="3" s="1"/>
  <c r="AD569" i="3"/>
  <c r="AC569" i="3"/>
  <c r="AA569" i="3"/>
  <c r="Z569" i="3"/>
  <c r="W568" i="3"/>
  <c r="U568" i="3" l="1"/>
  <c r="Y567" i="3"/>
  <c r="T569" i="3"/>
  <c r="AG569" i="3" s="1"/>
  <c r="E569" i="3" l="1"/>
  <c r="H569" i="3" s="1"/>
  <c r="AH569" i="3"/>
  <c r="D569" i="3"/>
  <c r="F569" i="3" l="1"/>
  <c r="G569" i="3"/>
  <c r="K569" i="3"/>
  <c r="AE569" i="3" s="1"/>
  <c r="V569" i="3" l="1"/>
  <c r="A570" i="3"/>
  <c r="B570" i="3" s="1"/>
  <c r="I569" i="3"/>
  <c r="J569" i="3"/>
  <c r="M569" i="3"/>
  <c r="N569" i="3" s="1"/>
  <c r="L569" i="3" l="1"/>
  <c r="Z570" i="3"/>
  <c r="AA570" i="3"/>
  <c r="AC570" i="3"/>
  <c r="AD570" i="3"/>
  <c r="P570" i="3"/>
  <c r="Q570" i="3" s="1"/>
  <c r="R570" i="3" s="1"/>
  <c r="S570" i="3" s="1"/>
  <c r="W569" i="3"/>
  <c r="T570" i="3" l="1"/>
  <c r="AG570" i="3" s="1"/>
  <c r="U569" i="3"/>
  <c r="Y568" i="3"/>
  <c r="E570" i="3" l="1"/>
  <c r="H570" i="3" s="1"/>
  <c r="K570" i="3" s="1"/>
  <c r="AE570" i="3" s="1"/>
  <c r="AH570" i="3"/>
  <c r="D570" i="3"/>
  <c r="F570" i="3" l="1"/>
  <c r="G570" i="3"/>
  <c r="I570" i="3" s="1"/>
  <c r="V570" i="3"/>
  <c r="A571" i="3"/>
  <c r="B571" i="3" s="1"/>
  <c r="M570" i="3" l="1"/>
  <c r="N570" i="3" s="1"/>
  <c r="J570" i="3"/>
  <c r="L570" i="3" s="1"/>
  <c r="AD571" i="3"/>
  <c r="AA571" i="3"/>
  <c r="AC571" i="3"/>
  <c r="Z571" i="3"/>
  <c r="P571" i="3"/>
  <c r="Q571" i="3" s="1"/>
  <c r="R571" i="3" s="1"/>
  <c r="S571" i="3" s="1"/>
  <c r="W570" i="3"/>
  <c r="T571" i="3" l="1"/>
  <c r="AH571" i="3" s="1"/>
  <c r="U570" i="3"/>
  <c r="Y569" i="3"/>
  <c r="E571" i="3" l="1"/>
  <c r="H571" i="3" s="1"/>
  <c r="K571" i="3" s="1"/>
  <c r="AE571" i="3" s="1"/>
  <c r="AG571" i="3"/>
  <c r="D571" i="3"/>
  <c r="F571" i="3" l="1"/>
  <c r="G571" i="3"/>
  <c r="I571" i="3" s="1"/>
  <c r="V571" i="3"/>
  <c r="A572" i="3"/>
  <c r="B572" i="3" s="1"/>
  <c r="J571" i="3" l="1"/>
  <c r="L571" i="3" s="1"/>
  <c r="M571" i="3"/>
  <c r="N571" i="3" s="1"/>
  <c r="AA572" i="3"/>
  <c r="AC572" i="3"/>
  <c r="P572" i="3"/>
  <c r="Q572" i="3" s="1"/>
  <c r="R572" i="3" s="1"/>
  <c r="S572" i="3" s="1"/>
  <c r="Z572" i="3"/>
  <c r="AD572" i="3"/>
  <c r="W571" i="3"/>
  <c r="T572" i="3" l="1"/>
  <c r="AH572" i="3" s="1"/>
  <c r="U571" i="3"/>
  <c r="Y570" i="3"/>
  <c r="AG572" i="3" l="1"/>
  <c r="E572" i="3"/>
  <c r="H572" i="3" s="1"/>
  <c r="K572" i="3" s="1"/>
  <c r="AE572" i="3" s="1"/>
  <c r="D572" i="3"/>
  <c r="F572" i="3" l="1"/>
  <c r="G572" i="3"/>
  <c r="I572" i="3" s="1"/>
  <c r="V572" i="3"/>
  <c r="A573" i="3"/>
  <c r="B573" i="3" s="1"/>
  <c r="M572" i="3" l="1"/>
  <c r="N572" i="3" s="1"/>
  <c r="J572" i="3"/>
  <c r="L572" i="3" s="1"/>
  <c r="P573" i="3"/>
  <c r="Q573" i="3" s="1"/>
  <c r="R573" i="3" s="1"/>
  <c r="S573" i="3" s="1"/>
  <c r="AC573" i="3"/>
  <c r="AA573" i="3"/>
  <c r="AD573" i="3"/>
  <c r="Z573" i="3"/>
  <c r="W572" i="3"/>
  <c r="T573" i="3" l="1"/>
  <c r="AH573" i="3" s="1"/>
  <c r="U572" i="3"/>
  <c r="Y571" i="3"/>
  <c r="AG573" i="3" l="1"/>
  <c r="D573" i="3"/>
  <c r="E573" i="3"/>
  <c r="H573" i="3" s="1"/>
  <c r="K573" i="3" l="1"/>
  <c r="AE573" i="3" s="1"/>
  <c r="F573" i="3"/>
  <c r="G573" i="3"/>
  <c r="I573" i="3" l="1"/>
  <c r="J573" i="3"/>
  <c r="M573" i="3"/>
  <c r="N573" i="3" s="1"/>
  <c r="V573" i="3"/>
  <c r="A574" i="3"/>
  <c r="B574" i="3" s="1"/>
  <c r="W573" i="3" l="1"/>
  <c r="P574" i="3"/>
  <c r="Q574" i="3" s="1"/>
  <c r="R574" i="3" s="1"/>
  <c r="S574" i="3" s="1"/>
  <c r="Z574" i="3"/>
  <c r="AC574" i="3"/>
  <c r="AA574" i="3"/>
  <c r="L573" i="3"/>
  <c r="U573" i="3" l="1"/>
  <c r="Y572" i="3"/>
  <c r="T574" i="3"/>
  <c r="D574" i="3" l="1"/>
  <c r="G574" i="3" s="1"/>
  <c r="AG574" i="3"/>
  <c r="E574" i="3"/>
  <c r="H574" i="3" s="1"/>
  <c r="AH574" i="3"/>
  <c r="K574" i="3" l="1"/>
  <c r="AE574" i="3" s="1"/>
  <c r="I574" i="3"/>
  <c r="J574" i="3"/>
  <c r="AD574" i="3" s="1"/>
  <c r="M574" i="3"/>
  <c r="N574" i="3" s="1"/>
  <c r="F574" i="3"/>
  <c r="L574" i="3" l="1"/>
  <c r="V574" i="3"/>
  <c r="W574" i="3" s="1"/>
  <c r="A575" i="3"/>
  <c r="B575" i="3" s="1"/>
  <c r="AD575" i="3" l="1"/>
  <c r="P575" i="3"/>
  <c r="Q575" i="3" s="1"/>
  <c r="R575" i="3" s="1"/>
  <c r="S575" i="3" s="1"/>
  <c r="AA575" i="3"/>
  <c r="AC575" i="3"/>
  <c r="Z575" i="3"/>
  <c r="U574" i="3"/>
  <c r="Y573" i="3"/>
  <c r="T575" i="3" l="1"/>
  <c r="E575" i="3" s="1"/>
  <c r="H575" i="3" s="1"/>
  <c r="K575" i="3" l="1"/>
  <c r="AE575" i="3" s="1"/>
  <c r="D575" i="3"/>
  <c r="AH575" i="3"/>
  <c r="AG575" i="3"/>
  <c r="F575" i="3" l="1"/>
  <c r="G575" i="3"/>
  <c r="V575" i="3"/>
  <c r="A576" i="3"/>
  <c r="B576" i="3" s="1"/>
  <c r="AD576" i="3" l="1"/>
  <c r="Z576" i="3"/>
  <c r="AA576" i="3"/>
  <c r="AC576" i="3"/>
  <c r="P576" i="3"/>
  <c r="Q576" i="3" s="1"/>
  <c r="R576" i="3" s="1"/>
  <c r="S576" i="3" s="1"/>
  <c r="I575" i="3"/>
  <c r="W575" i="3" s="1"/>
  <c r="J575" i="3"/>
  <c r="M575" i="3"/>
  <c r="N575" i="3" s="1"/>
  <c r="T576" i="3" l="1"/>
  <c r="L575" i="3"/>
  <c r="AG576" i="3" l="1"/>
  <c r="AH576" i="3"/>
  <c r="U575" i="3"/>
  <c r="D576" i="3" s="1"/>
  <c r="Y574" i="3"/>
  <c r="E576" i="3" l="1"/>
  <c r="H576" i="3" s="1"/>
  <c r="K576" i="3" s="1"/>
  <c r="AE576" i="3" s="1"/>
  <c r="G576" i="3"/>
  <c r="F576" i="3" l="1"/>
  <c r="V576" i="3"/>
  <c r="A577" i="3"/>
  <c r="B577" i="3" s="1"/>
  <c r="I576" i="3"/>
  <c r="J576" i="3"/>
  <c r="M576" i="3"/>
  <c r="N576" i="3" s="1"/>
  <c r="L576" i="3" l="1"/>
  <c r="P577" i="3"/>
  <c r="Q577" i="3" s="1"/>
  <c r="R577" i="3" s="1"/>
  <c r="S577" i="3" s="1"/>
  <c r="AA577" i="3"/>
  <c r="AC577" i="3"/>
  <c r="AD577" i="3"/>
  <c r="Z577" i="3"/>
  <c r="W576" i="3"/>
  <c r="T577" i="3" l="1"/>
  <c r="AG577" i="3" s="1"/>
  <c r="U576" i="3"/>
  <c r="Y575" i="3"/>
  <c r="E577" i="3" l="1"/>
  <c r="H577" i="3" s="1"/>
  <c r="K577" i="3" s="1"/>
  <c r="AE577" i="3" s="1"/>
  <c r="AH577" i="3"/>
  <c r="D577" i="3"/>
  <c r="F577" i="3" l="1"/>
  <c r="G577" i="3"/>
  <c r="I577" i="3" s="1"/>
  <c r="V577" i="3"/>
  <c r="A578" i="3"/>
  <c r="B578" i="3" s="1"/>
  <c r="M577" i="3" l="1"/>
  <c r="N577" i="3" s="1"/>
  <c r="J577" i="3"/>
  <c r="L577" i="3" s="1"/>
  <c r="Z578" i="3"/>
  <c r="AA578" i="3"/>
  <c r="AC578" i="3"/>
  <c r="AD578" i="3"/>
  <c r="P578" i="3"/>
  <c r="Q578" i="3" s="1"/>
  <c r="R578" i="3" s="1"/>
  <c r="S578" i="3" s="1"/>
  <c r="W577" i="3"/>
  <c r="T578" i="3" l="1"/>
  <c r="AG578" i="3" s="1"/>
  <c r="U577" i="3"/>
  <c r="Y576" i="3"/>
  <c r="D578" i="3" l="1"/>
  <c r="G578" i="3" s="1"/>
  <c r="E578" i="3"/>
  <c r="H578" i="3" s="1"/>
  <c r="K578" i="3" s="1"/>
  <c r="AE578" i="3" s="1"/>
  <c r="AH578" i="3"/>
  <c r="F578" i="3" l="1"/>
  <c r="I578" i="3"/>
  <c r="J578" i="3"/>
  <c r="M578" i="3"/>
  <c r="N578" i="3" s="1"/>
  <c r="V578" i="3"/>
  <c r="A579" i="3"/>
  <c r="B579" i="3" s="1"/>
  <c r="W578" i="3" l="1"/>
  <c r="AD579" i="3"/>
  <c r="AA579" i="3"/>
  <c r="Z579" i="3"/>
  <c r="AC579" i="3"/>
  <c r="P579" i="3"/>
  <c r="Q579" i="3" s="1"/>
  <c r="R579" i="3" s="1"/>
  <c r="S579" i="3" s="1"/>
  <c r="L578" i="3"/>
  <c r="T579" i="3" l="1"/>
  <c r="AG579" i="3" s="1"/>
  <c r="U578" i="3"/>
  <c r="Y577" i="3"/>
  <c r="E579" i="3" l="1"/>
  <c r="H579" i="3" s="1"/>
  <c r="K579" i="3" s="1"/>
  <c r="AE579" i="3" s="1"/>
  <c r="D579" i="3"/>
  <c r="AH579" i="3"/>
  <c r="F579" i="3" l="1"/>
  <c r="G579" i="3"/>
  <c r="I579" i="3" s="1"/>
  <c r="V579" i="3"/>
  <c r="A580" i="3"/>
  <c r="B580" i="3" s="1"/>
  <c r="M579" i="3" l="1"/>
  <c r="N579" i="3" s="1"/>
  <c r="J579" i="3"/>
  <c r="L579" i="3" s="1"/>
  <c r="W579" i="3"/>
  <c r="P580" i="3"/>
  <c r="Q580" i="3" s="1"/>
  <c r="R580" i="3" s="1"/>
  <c r="S580" i="3" s="1"/>
  <c r="AD580" i="3"/>
  <c r="AA580" i="3"/>
  <c r="Z580" i="3"/>
  <c r="AC580" i="3"/>
  <c r="U579" i="3" l="1"/>
  <c r="Y578" i="3"/>
  <c r="T580" i="3"/>
  <c r="AG580" i="3" s="1"/>
  <c r="D580" i="3" l="1"/>
  <c r="AH580" i="3"/>
  <c r="E580" i="3"/>
  <c r="H580" i="3" s="1"/>
  <c r="K580" i="3" l="1"/>
  <c r="AE580" i="3" s="1"/>
  <c r="F580" i="3"/>
  <c r="G580" i="3"/>
  <c r="I580" i="3" l="1"/>
  <c r="J580" i="3"/>
  <c r="M580" i="3"/>
  <c r="N580" i="3" s="1"/>
  <c r="V580" i="3"/>
  <c r="A581" i="3"/>
  <c r="B581" i="3" s="1"/>
  <c r="W580" i="3" l="1"/>
  <c r="AA581" i="3"/>
  <c r="P581" i="3"/>
  <c r="Q581" i="3" s="1"/>
  <c r="R581" i="3" s="1"/>
  <c r="S581" i="3" s="1"/>
  <c r="AD581" i="3"/>
  <c r="AC581" i="3"/>
  <c r="Z581" i="3"/>
  <c r="L580" i="3"/>
  <c r="T581" i="3" l="1"/>
  <c r="AH581" i="3" s="1"/>
  <c r="U580" i="3"/>
  <c r="Y579" i="3"/>
  <c r="E581" i="3" l="1"/>
  <c r="H581" i="3" s="1"/>
  <c r="K581" i="3" s="1"/>
  <c r="AE581" i="3" s="1"/>
  <c r="AG581" i="3"/>
  <c r="D581" i="3"/>
  <c r="F581" i="3" l="1"/>
  <c r="G581" i="3"/>
  <c r="V581" i="3"/>
  <c r="A582" i="3"/>
  <c r="B582" i="3" s="1"/>
  <c r="AA582" i="3" l="1"/>
  <c r="Z582" i="3"/>
  <c r="P582" i="3"/>
  <c r="Q582" i="3" s="1"/>
  <c r="R582" i="3" s="1"/>
  <c r="S582" i="3" s="1"/>
  <c r="AC582" i="3"/>
  <c r="AD582" i="3"/>
  <c r="I581" i="3"/>
  <c r="W581" i="3" s="1"/>
  <c r="J581" i="3"/>
  <c r="M581" i="3"/>
  <c r="N581" i="3" s="1"/>
  <c r="L581" i="3" l="1"/>
  <c r="T582" i="3"/>
  <c r="U581" i="3" l="1"/>
  <c r="D582" i="3" s="1"/>
  <c r="AG582" i="3"/>
  <c r="AH582" i="3"/>
  <c r="Y580" i="3"/>
  <c r="E582" i="3" l="1"/>
  <c r="H582" i="3" s="1"/>
  <c r="K582" i="3" s="1"/>
  <c r="AE582" i="3" s="1"/>
  <c r="G582" i="3"/>
  <c r="F582" i="3" l="1"/>
  <c r="I582" i="3"/>
  <c r="J582" i="3"/>
  <c r="M582" i="3"/>
  <c r="N582" i="3" s="1"/>
  <c r="V582" i="3"/>
  <c r="A583" i="3"/>
  <c r="B583" i="3" s="1"/>
  <c r="W582" i="3" l="1"/>
  <c r="P583" i="3"/>
  <c r="Q583" i="3" s="1"/>
  <c r="R583" i="3" s="1"/>
  <c r="S583" i="3" s="1"/>
  <c r="AD583" i="3"/>
  <c r="AA583" i="3"/>
  <c r="Z583" i="3"/>
  <c r="AC583" i="3"/>
  <c r="L582" i="3"/>
  <c r="T583" i="3" l="1"/>
  <c r="AH583" i="3" s="1"/>
  <c r="U582" i="3"/>
  <c r="Y581" i="3"/>
  <c r="AG583" i="3" l="1"/>
  <c r="E583" i="3"/>
  <c r="H583" i="3" s="1"/>
  <c r="K583" i="3" s="1"/>
  <c r="AE583" i="3" s="1"/>
  <c r="D583" i="3"/>
  <c r="F583" i="3" l="1"/>
  <c r="G583" i="3"/>
  <c r="I583" i="3" s="1"/>
  <c r="V583" i="3"/>
  <c r="A584" i="3"/>
  <c r="B584" i="3" s="1"/>
  <c r="J583" i="3" l="1"/>
  <c r="L583" i="3" s="1"/>
  <c r="M583" i="3"/>
  <c r="N583" i="3" s="1"/>
  <c r="AA584" i="3"/>
  <c r="Z584" i="3"/>
  <c r="AC584" i="3"/>
  <c r="P584" i="3"/>
  <c r="Q584" i="3" s="1"/>
  <c r="R584" i="3" s="1"/>
  <c r="S584" i="3" s="1"/>
  <c r="W583" i="3"/>
  <c r="T584" i="3" l="1"/>
  <c r="AH584" i="3" s="1"/>
  <c r="U583" i="3"/>
  <c r="Y582" i="3"/>
  <c r="AG584" i="3" l="1"/>
  <c r="E584" i="3"/>
  <c r="H584" i="3" s="1"/>
  <c r="K584" i="3" s="1"/>
  <c r="AE584" i="3" s="1"/>
  <c r="D584" i="3"/>
  <c r="F584" i="3" l="1"/>
  <c r="G584" i="3"/>
  <c r="I584" i="3" s="1"/>
  <c r="V584" i="3"/>
  <c r="A585" i="3"/>
  <c r="B585" i="3" s="1"/>
  <c r="J584" i="3" l="1"/>
  <c r="AD584" i="3" s="1"/>
  <c r="W584" i="3"/>
  <c r="M584" i="3"/>
  <c r="N584" i="3" s="1"/>
  <c r="P585" i="3"/>
  <c r="Q585" i="3" s="1"/>
  <c r="R585" i="3" s="1"/>
  <c r="S585" i="3" s="1"/>
  <c r="AA585" i="3"/>
  <c r="AD585" i="3"/>
  <c r="AC585" i="3"/>
  <c r="Z585" i="3"/>
  <c r="L584" i="3" l="1"/>
  <c r="U584" i="3" s="1"/>
  <c r="T585" i="3"/>
  <c r="Y583" i="3" l="1"/>
  <c r="D585" i="3"/>
  <c r="G585" i="3" s="1"/>
  <c r="E585" i="3"/>
  <c r="H585" i="3" s="1"/>
  <c r="AG585" i="3"/>
  <c r="AH585" i="3"/>
  <c r="K585" i="3" l="1"/>
  <c r="AE585" i="3" s="1"/>
  <c r="I585" i="3"/>
  <c r="J585" i="3"/>
  <c r="M585" i="3"/>
  <c r="N585" i="3" s="1"/>
  <c r="F585" i="3"/>
  <c r="L585" i="3" l="1"/>
  <c r="V585" i="3"/>
  <c r="W585" i="3" s="1"/>
  <c r="A586" i="3"/>
  <c r="B586" i="3" s="1"/>
  <c r="P586" i="3" l="1"/>
  <c r="Q586" i="3" s="1"/>
  <c r="R586" i="3" s="1"/>
  <c r="S586" i="3" s="1"/>
  <c r="AA586" i="3"/>
  <c r="AC586" i="3"/>
  <c r="Z586" i="3"/>
  <c r="AD586" i="3"/>
  <c r="U585" i="3"/>
  <c r="Y584" i="3"/>
  <c r="T586" i="3" l="1"/>
  <c r="E586" i="3" l="1"/>
  <c r="H586" i="3" s="1"/>
  <c r="D586" i="3"/>
  <c r="AH586" i="3"/>
  <c r="AG586" i="3"/>
  <c r="F586" i="3" l="1"/>
  <c r="G586" i="3"/>
  <c r="K586" i="3"/>
  <c r="AE586" i="3" s="1"/>
  <c r="V586" i="3" l="1"/>
  <c r="A587" i="3"/>
  <c r="B587" i="3" s="1"/>
  <c r="I586" i="3"/>
  <c r="J586" i="3"/>
  <c r="M586" i="3"/>
  <c r="N586" i="3" s="1"/>
  <c r="L586" i="3" l="1"/>
  <c r="Z587" i="3"/>
  <c r="P587" i="3"/>
  <c r="Q587" i="3" s="1"/>
  <c r="R587" i="3" s="1"/>
  <c r="S587" i="3" s="1"/>
  <c r="AD587" i="3"/>
  <c r="AA587" i="3"/>
  <c r="AC587" i="3"/>
  <c r="W586" i="3"/>
  <c r="T587" i="3" l="1"/>
  <c r="AG587" i="3" s="1"/>
  <c r="U586" i="3"/>
  <c r="Y585" i="3"/>
  <c r="AH587" i="3" l="1"/>
  <c r="E587" i="3"/>
  <c r="H587" i="3" s="1"/>
  <c r="K587" i="3" s="1"/>
  <c r="AE587" i="3" s="1"/>
  <c r="D587" i="3"/>
  <c r="F587" i="3" l="1"/>
  <c r="G587" i="3"/>
  <c r="I587" i="3" s="1"/>
  <c r="V587" i="3"/>
  <c r="A588" i="3"/>
  <c r="B588" i="3" s="1"/>
  <c r="M587" i="3" l="1"/>
  <c r="N587" i="3" s="1"/>
  <c r="W587" i="3"/>
  <c r="J587" i="3"/>
  <c r="L587" i="3" s="1"/>
  <c r="AC588" i="3"/>
  <c r="AA588" i="3"/>
  <c r="P588" i="3"/>
  <c r="Q588" i="3" s="1"/>
  <c r="R588" i="3" s="1"/>
  <c r="S588" i="3" s="1"/>
  <c r="Z588" i="3"/>
  <c r="AD588" i="3"/>
  <c r="T588" i="3" l="1"/>
  <c r="AH588" i="3" s="1"/>
  <c r="U587" i="3"/>
  <c r="Y586" i="3"/>
  <c r="AG588" i="3" l="1"/>
  <c r="E588" i="3"/>
  <c r="H588" i="3" s="1"/>
  <c r="K588" i="3" s="1"/>
  <c r="AE588" i="3" s="1"/>
  <c r="D588" i="3"/>
  <c r="F588" i="3" l="1"/>
  <c r="G588" i="3"/>
  <c r="I588" i="3" s="1"/>
  <c r="V588" i="3"/>
  <c r="A589" i="3"/>
  <c r="B589" i="3" s="1"/>
  <c r="M588" i="3" l="1"/>
  <c r="N588" i="3" s="1"/>
  <c r="J588" i="3"/>
  <c r="L588" i="3" s="1"/>
  <c r="W588" i="3"/>
  <c r="P589" i="3"/>
  <c r="Q589" i="3" s="1"/>
  <c r="R589" i="3" s="1"/>
  <c r="S589" i="3" s="1"/>
  <c r="AC589" i="3"/>
  <c r="AD589" i="3"/>
  <c r="AA589" i="3"/>
  <c r="Z589" i="3"/>
  <c r="T589" i="3" l="1"/>
  <c r="AH589" i="3" s="1"/>
  <c r="U588" i="3"/>
  <c r="Y587" i="3"/>
  <c r="AG589" i="3" l="1"/>
  <c r="D589" i="3"/>
  <c r="G589" i="3" s="1"/>
  <c r="E589" i="3"/>
  <c r="H589" i="3" s="1"/>
  <c r="K589" i="3" s="1"/>
  <c r="AE589" i="3" s="1"/>
  <c r="F589" i="3" l="1"/>
  <c r="V589" i="3"/>
  <c r="A590" i="3"/>
  <c r="B590" i="3" s="1"/>
  <c r="I589" i="3"/>
  <c r="J589" i="3"/>
  <c r="M589" i="3"/>
  <c r="N589" i="3" s="1"/>
  <c r="L589" i="3" l="1"/>
  <c r="Z590" i="3"/>
  <c r="AD590" i="3"/>
  <c r="P590" i="3"/>
  <c r="Q590" i="3" s="1"/>
  <c r="R590" i="3" s="1"/>
  <c r="S590" i="3" s="1"/>
  <c r="AA590" i="3"/>
  <c r="AC590" i="3"/>
  <c r="W589" i="3"/>
  <c r="T590" i="3" l="1"/>
  <c r="AH590" i="3" s="1"/>
  <c r="U589" i="3"/>
  <c r="Y588" i="3"/>
  <c r="AG590" i="3" l="1"/>
  <c r="E590" i="3"/>
  <c r="H590" i="3" s="1"/>
  <c r="K590" i="3" s="1"/>
  <c r="AE590" i="3" s="1"/>
  <c r="D590" i="3"/>
  <c r="F590" i="3" l="1"/>
  <c r="G590" i="3"/>
  <c r="I590" i="3" s="1"/>
  <c r="V590" i="3"/>
  <c r="A591" i="3"/>
  <c r="B591" i="3" s="1"/>
  <c r="M590" i="3" l="1"/>
  <c r="N590" i="3" s="1"/>
  <c r="J590" i="3"/>
  <c r="L590" i="3" s="1"/>
  <c r="Z591" i="3"/>
  <c r="AA591" i="3"/>
  <c r="AD591" i="3"/>
  <c r="AC591" i="3"/>
  <c r="P591" i="3"/>
  <c r="Q591" i="3" s="1"/>
  <c r="R591" i="3" s="1"/>
  <c r="S591" i="3" s="1"/>
  <c r="W590" i="3"/>
  <c r="T591" i="3" l="1"/>
  <c r="AH591" i="3" s="1"/>
  <c r="U590" i="3"/>
  <c r="Y589" i="3"/>
  <c r="E591" i="3" l="1"/>
  <c r="H591" i="3" s="1"/>
  <c r="K591" i="3" s="1"/>
  <c r="AE591" i="3" s="1"/>
  <c r="AG591" i="3"/>
  <c r="D591" i="3"/>
  <c r="F591" i="3" l="1"/>
  <c r="G591" i="3"/>
  <c r="I591" i="3" s="1"/>
  <c r="V591" i="3"/>
  <c r="A592" i="3"/>
  <c r="B592" i="3" s="1"/>
  <c r="W591" i="3" l="1"/>
  <c r="M591" i="3"/>
  <c r="N591" i="3" s="1"/>
  <c r="J591" i="3"/>
  <c r="L591" i="3" s="1"/>
  <c r="AC592" i="3"/>
  <c r="AA592" i="3"/>
  <c r="Z592" i="3"/>
  <c r="AD592" i="3"/>
  <c r="P592" i="3"/>
  <c r="Q592" i="3" s="1"/>
  <c r="R592" i="3" s="1"/>
  <c r="S592" i="3" s="1"/>
  <c r="T592" i="3" l="1"/>
  <c r="AH592" i="3" s="1"/>
  <c r="U591" i="3"/>
  <c r="Y590" i="3"/>
  <c r="D592" i="3" l="1"/>
  <c r="AG592" i="3"/>
  <c r="E592" i="3"/>
  <c r="H592" i="3" s="1"/>
  <c r="K592" i="3" s="1"/>
  <c r="AE592" i="3" s="1"/>
  <c r="F592" i="3" l="1"/>
  <c r="G592" i="3"/>
  <c r="I592" i="3" s="1"/>
  <c r="V592" i="3"/>
  <c r="A593" i="3"/>
  <c r="B593" i="3" s="1"/>
  <c r="M592" i="3" l="1"/>
  <c r="N592" i="3" s="1"/>
  <c r="J592" i="3"/>
  <c r="L592" i="3" s="1"/>
  <c r="Z593" i="3"/>
  <c r="P593" i="3"/>
  <c r="Q593" i="3" s="1"/>
  <c r="R593" i="3" s="1"/>
  <c r="S593" i="3" s="1"/>
  <c r="AA593" i="3"/>
  <c r="AD593" i="3"/>
  <c r="AC593" i="3"/>
  <c r="W592" i="3"/>
  <c r="T593" i="3" l="1"/>
  <c r="AH593" i="3" s="1"/>
  <c r="U592" i="3"/>
  <c r="Y591" i="3"/>
  <c r="AG593" i="3" l="1"/>
  <c r="D593" i="3"/>
  <c r="G593" i="3" s="1"/>
  <c r="E593" i="3"/>
  <c r="H593" i="3" s="1"/>
  <c r="F593" i="3" l="1"/>
  <c r="K593" i="3"/>
  <c r="AE593" i="3" s="1"/>
  <c r="I593" i="3"/>
  <c r="J593" i="3"/>
  <c r="M593" i="3"/>
  <c r="N593" i="3" s="1"/>
  <c r="V593" i="3" l="1"/>
  <c r="W593" i="3" s="1"/>
  <c r="A594" i="3"/>
  <c r="B594" i="3" s="1"/>
  <c r="L593" i="3"/>
  <c r="U593" i="3" l="1"/>
  <c r="Y592" i="3"/>
  <c r="AC594" i="3"/>
  <c r="Z594" i="3"/>
  <c r="AA594" i="3"/>
  <c r="P594" i="3"/>
  <c r="Q594" i="3" s="1"/>
  <c r="R594" i="3" s="1"/>
  <c r="S594" i="3" s="1"/>
  <c r="T594" i="3" l="1"/>
  <c r="AG594" i="3" s="1"/>
  <c r="D594" i="3" l="1"/>
  <c r="G594" i="3" s="1"/>
  <c r="AH594" i="3"/>
  <c r="E594" i="3"/>
  <c r="H594" i="3" s="1"/>
  <c r="K594" i="3" l="1"/>
  <c r="AE594" i="3" s="1"/>
  <c r="I594" i="3"/>
  <c r="J594" i="3"/>
  <c r="AD594" i="3" s="1"/>
  <c r="M594" i="3"/>
  <c r="N594" i="3" s="1"/>
  <c r="F594" i="3"/>
  <c r="V594" i="3" l="1"/>
  <c r="W594" i="3" s="1"/>
  <c r="A595" i="3"/>
  <c r="B595" i="3" s="1"/>
  <c r="L594" i="3"/>
  <c r="U594" i="3" l="1"/>
  <c r="Y593" i="3"/>
  <c r="Z595" i="3"/>
  <c r="AD595" i="3"/>
  <c r="AA595" i="3"/>
  <c r="P595" i="3"/>
  <c r="Q595" i="3" s="1"/>
  <c r="R595" i="3" s="1"/>
  <c r="S595" i="3" s="1"/>
  <c r="AC595" i="3"/>
  <c r="T595" i="3" l="1"/>
  <c r="E595" i="3" s="1"/>
  <c r="H595" i="3" s="1"/>
  <c r="AH595" i="3" l="1"/>
  <c r="D595" i="3"/>
  <c r="F595" i="3" s="1"/>
  <c r="AG595" i="3"/>
  <c r="K595" i="3"/>
  <c r="AE595" i="3" s="1"/>
  <c r="G595" i="3" l="1"/>
  <c r="I595" i="3" s="1"/>
  <c r="V595" i="3"/>
  <c r="A596" i="3"/>
  <c r="B596" i="3" s="1"/>
  <c r="M595" i="3" l="1"/>
  <c r="N595" i="3" s="1"/>
  <c r="J595" i="3"/>
  <c r="L595" i="3" s="1"/>
  <c r="W595" i="3"/>
  <c r="AA596" i="3"/>
  <c r="P596" i="3"/>
  <c r="Q596" i="3" s="1"/>
  <c r="R596" i="3" s="1"/>
  <c r="S596" i="3" s="1"/>
  <c r="Z596" i="3"/>
  <c r="AC596" i="3"/>
  <c r="AD596" i="3"/>
  <c r="T596" i="3" l="1"/>
  <c r="AG596" i="3" s="1"/>
  <c r="U595" i="3"/>
  <c r="Y594" i="3"/>
  <c r="AH596" i="3" l="1"/>
  <c r="E596" i="3"/>
  <c r="H596" i="3" s="1"/>
  <c r="K596" i="3" s="1"/>
  <c r="AE596" i="3" s="1"/>
  <c r="D596" i="3"/>
  <c r="G596" i="3" s="1"/>
  <c r="F596" i="3" l="1"/>
  <c r="I596" i="3"/>
  <c r="J596" i="3"/>
  <c r="M596" i="3"/>
  <c r="N596" i="3" s="1"/>
  <c r="V596" i="3"/>
  <c r="A597" i="3"/>
  <c r="B597" i="3" s="1"/>
  <c r="W596" i="3" l="1"/>
  <c r="AA597" i="3"/>
  <c r="AC597" i="3"/>
  <c r="AD597" i="3"/>
  <c r="P597" i="3"/>
  <c r="Q597" i="3" s="1"/>
  <c r="R597" i="3" s="1"/>
  <c r="S597" i="3" s="1"/>
  <c r="Z597" i="3"/>
  <c r="L596" i="3"/>
  <c r="U596" i="3" l="1"/>
  <c r="Y595" i="3"/>
  <c r="T597" i="3"/>
  <c r="D597" i="3" l="1"/>
  <c r="G597" i="3" s="1"/>
  <c r="AG597" i="3"/>
  <c r="E597" i="3"/>
  <c r="H597" i="3" s="1"/>
  <c r="AH597" i="3"/>
  <c r="K597" i="3" l="1"/>
  <c r="AE597" i="3" s="1"/>
  <c r="I597" i="3"/>
  <c r="J597" i="3"/>
  <c r="M597" i="3"/>
  <c r="N597" i="3" s="1"/>
  <c r="F597" i="3"/>
  <c r="L597" i="3" l="1"/>
  <c r="V597" i="3"/>
  <c r="W597" i="3" s="1"/>
  <c r="A598" i="3"/>
  <c r="B598" i="3" s="1"/>
  <c r="P598" i="3" l="1"/>
  <c r="Q598" i="3" s="1"/>
  <c r="R598" i="3" s="1"/>
  <c r="S598" i="3" s="1"/>
  <c r="AC598" i="3"/>
  <c r="Z598" i="3"/>
  <c r="AD598" i="3"/>
  <c r="AA598" i="3"/>
  <c r="U597" i="3"/>
  <c r="Y596" i="3"/>
  <c r="T598" i="3" l="1"/>
  <c r="AG598" i="3" l="1"/>
  <c r="D598" i="3"/>
  <c r="AH598" i="3"/>
  <c r="E598" i="3"/>
  <c r="H598" i="3" s="1"/>
  <c r="F598" i="3" l="1"/>
  <c r="G598" i="3"/>
  <c r="K598" i="3"/>
  <c r="AE598" i="3" s="1"/>
  <c r="V598" i="3" l="1"/>
  <c r="A599" i="3"/>
  <c r="B599" i="3" s="1"/>
  <c r="I598" i="3"/>
  <c r="J598" i="3"/>
  <c r="M598" i="3"/>
  <c r="N598" i="3" s="1"/>
  <c r="L598" i="3" l="1"/>
  <c r="AD599" i="3"/>
  <c r="Z599" i="3"/>
  <c r="AA599" i="3"/>
  <c r="P599" i="3"/>
  <c r="Q599" i="3" s="1"/>
  <c r="R599" i="3" s="1"/>
  <c r="S599" i="3" s="1"/>
  <c r="AC599" i="3"/>
  <c r="W598" i="3"/>
  <c r="T599" i="3" l="1"/>
  <c r="AH599" i="3" s="1"/>
  <c r="U598" i="3"/>
  <c r="Y597" i="3"/>
  <c r="AG599" i="3" l="1"/>
  <c r="E599" i="3"/>
  <c r="H599" i="3" s="1"/>
  <c r="K599" i="3" s="1"/>
  <c r="AE599" i="3" s="1"/>
  <c r="D599" i="3"/>
  <c r="F599" i="3" l="1"/>
  <c r="G599" i="3"/>
  <c r="I599" i="3" s="1"/>
  <c r="V599" i="3"/>
  <c r="A600" i="3"/>
  <c r="B600" i="3" s="1"/>
  <c r="M599" i="3" l="1"/>
  <c r="N599" i="3" s="1"/>
  <c r="J599" i="3"/>
  <c r="L599" i="3" s="1"/>
  <c r="AD600" i="3"/>
  <c r="AC600" i="3"/>
  <c r="AA600" i="3"/>
  <c r="Z600" i="3"/>
  <c r="P600" i="3"/>
  <c r="Q600" i="3" s="1"/>
  <c r="R600" i="3" s="1"/>
  <c r="S600" i="3" s="1"/>
  <c r="W599" i="3"/>
  <c r="T600" i="3" l="1"/>
  <c r="AG600" i="3" s="1"/>
  <c r="U599" i="3"/>
  <c r="Y598" i="3"/>
  <c r="E600" i="3" l="1"/>
  <c r="H600" i="3" s="1"/>
  <c r="K600" i="3" s="1"/>
  <c r="AE600" i="3" s="1"/>
  <c r="D600" i="3"/>
  <c r="AH600" i="3"/>
  <c r="F600" i="3" l="1"/>
  <c r="G600" i="3"/>
  <c r="I600" i="3" s="1"/>
  <c r="V600" i="3"/>
  <c r="A601" i="3"/>
  <c r="B601" i="3" s="1"/>
  <c r="M600" i="3" l="1"/>
  <c r="N600" i="3" s="1"/>
  <c r="J600" i="3"/>
  <c r="L600" i="3" s="1"/>
  <c r="W600" i="3"/>
  <c r="Z601" i="3"/>
  <c r="AD601" i="3"/>
  <c r="AA601" i="3"/>
  <c r="AC601" i="3"/>
  <c r="P601" i="3"/>
  <c r="Q601" i="3" s="1"/>
  <c r="R601" i="3" s="1"/>
  <c r="S601" i="3" s="1"/>
  <c r="T601" i="3" l="1"/>
  <c r="U600" i="3"/>
  <c r="Y599" i="3"/>
  <c r="E601" i="3" l="1"/>
  <c r="H601" i="3" s="1"/>
  <c r="K601" i="3" s="1"/>
  <c r="AE601" i="3" s="1"/>
  <c r="AH601" i="3"/>
  <c r="AG601" i="3"/>
  <c r="D601" i="3"/>
  <c r="F601" i="3" l="1"/>
  <c r="G601" i="3"/>
  <c r="I601" i="3" s="1"/>
  <c r="V601" i="3"/>
  <c r="A602" i="3"/>
  <c r="B602" i="3" s="1"/>
  <c r="M601" i="3" l="1"/>
  <c r="N601" i="3" s="1"/>
  <c r="J601" i="3"/>
  <c r="L601" i="3" s="1"/>
  <c r="W601" i="3"/>
  <c r="P602" i="3"/>
  <c r="Q602" i="3" s="1"/>
  <c r="R602" i="3" s="1"/>
  <c r="S602" i="3" s="1"/>
  <c r="AD602" i="3"/>
  <c r="AA602" i="3"/>
  <c r="Z602" i="3"/>
  <c r="AC602" i="3"/>
  <c r="U601" i="3" l="1"/>
  <c r="Y600" i="3"/>
  <c r="T602" i="3"/>
  <c r="E602" i="3" l="1"/>
  <c r="H602" i="3" s="1"/>
  <c r="K602" i="3" s="1"/>
  <c r="AE602" i="3" s="1"/>
  <c r="D602" i="3"/>
  <c r="G602" i="3" s="1"/>
  <c r="AH602" i="3"/>
  <c r="AG602" i="3"/>
  <c r="F602" i="3" l="1"/>
  <c r="V602" i="3"/>
  <c r="A603" i="3"/>
  <c r="B603" i="3" s="1"/>
  <c r="I602" i="3"/>
  <c r="J602" i="3"/>
  <c r="M602" i="3"/>
  <c r="N602" i="3" s="1"/>
  <c r="L602" i="3" l="1"/>
  <c r="AC603" i="3"/>
  <c r="AD603" i="3"/>
  <c r="Z603" i="3"/>
  <c r="AA603" i="3"/>
  <c r="P603" i="3"/>
  <c r="Q603" i="3" s="1"/>
  <c r="R603" i="3" s="1"/>
  <c r="S603" i="3" s="1"/>
  <c r="W602" i="3"/>
  <c r="T603" i="3" l="1"/>
  <c r="AG603" i="3" s="1"/>
  <c r="U602" i="3"/>
  <c r="Y601" i="3"/>
  <c r="AH603" i="3" l="1"/>
  <c r="D603" i="3"/>
  <c r="G603" i="3" s="1"/>
  <c r="E603" i="3"/>
  <c r="H603" i="3" s="1"/>
  <c r="K603" i="3" l="1"/>
  <c r="AE603" i="3" s="1"/>
  <c r="I603" i="3"/>
  <c r="J603" i="3"/>
  <c r="M603" i="3"/>
  <c r="N603" i="3" s="1"/>
  <c r="F603" i="3"/>
  <c r="L603" i="3" l="1"/>
  <c r="V603" i="3"/>
  <c r="W603" i="3" s="1"/>
  <c r="A604" i="3"/>
  <c r="B604" i="3" s="1"/>
  <c r="P604" i="3" l="1"/>
  <c r="Q604" i="3" s="1"/>
  <c r="R604" i="3" s="1"/>
  <c r="S604" i="3" s="1"/>
  <c r="AC604" i="3"/>
  <c r="Z604" i="3"/>
  <c r="AA604" i="3"/>
  <c r="U603" i="3"/>
  <c r="Y602" i="3"/>
  <c r="T604" i="3" l="1"/>
  <c r="AG604" i="3" l="1"/>
  <c r="AH604" i="3"/>
  <c r="E604" i="3"/>
  <c r="H604" i="3" s="1"/>
  <c r="D604" i="3"/>
  <c r="F604" i="3" l="1"/>
  <c r="G604" i="3"/>
  <c r="K604" i="3"/>
  <c r="AE604" i="3" s="1"/>
  <c r="V604" i="3" l="1"/>
  <c r="A605" i="3"/>
  <c r="B605" i="3" s="1"/>
  <c r="I604" i="3"/>
  <c r="J604" i="3"/>
  <c r="AD604" i="3" s="1"/>
  <c r="M604" i="3"/>
  <c r="N604" i="3" s="1"/>
  <c r="L604" i="3" l="1"/>
  <c r="AA605" i="3"/>
  <c r="AD605" i="3"/>
  <c r="AC605" i="3"/>
  <c r="Z605" i="3"/>
  <c r="P605" i="3"/>
  <c r="Q605" i="3" s="1"/>
  <c r="R605" i="3" s="1"/>
  <c r="S605" i="3" s="1"/>
  <c r="W604" i="3"/>
  <c r="T605" i="3" l="1"/>
  <c r="AG605" i="3" s="1"/>
  <c r="U604" i="3"/>
  <c r="Y603" i="3"/>
  <c r="E605" i="3" l="1"/>
  <c r="H605" i="3" s="1"/>
  <c r="K605" i="3" s="1"/>
  <c r="AE605" i="3" s="1"/>
  <c r="AH605" i="3"/>
  <c r="D605" i="3"/>
  <c r="F605" i="3" l="1"/>
  <c r="G605" i="3"/>
  <c r="V605" i="3"/>
  <c r="A606" i="3"/>
  <c r="B606" i="3" s="1"/>
  <c r="AD606" i="3" l="1"/>
  <c r="AC606" i="3"/>
  <c r="Z606" i="3"/>
  <c r="AA606" i="3"/>
  <c r="P606" i="3"/>
  <c r="Q606" i="3" s="1"/>
  <c r="R606" i="3" s="1"/>
  <c r="S606" i="3" s="1"/>
  <c r="I605" i="3"/>
  <c r="W605" i="3" s="1"/>
  <c r="J605" i="3"/>
  <c r="M605" i="3"/>
  <c r="N605" i="3" s="1"/>
  <c r="L605" i="3" l="1"/>
  <c r="T606" i="3"/>
  <c r="AH606" i="3" l="1"/>
  <c r="AG606" i="3"/>
  <c r="U605" i="3"/>
  <c r="D606" i="3" s="1"/>
  <c r="Y604" i="3"/>
  <c r="E606" i="3" l="1"/>
  <c r="H606" i="3" s="1"/>
  <c r="K606" i="3" s="1"/>
  <c r="AE606" i="3" s="1"/>
  <c r="G606" i="3"/>
  <c r="F606" i="3" l="1"/>
  <c r="V606" i="3"/>
  <c r="A607" i="3"/>
  <c r="B607" i="3" s="1"/>
  <c r="I606" i="3"/>
  <c r="J606" i="3"/>
  <c r="M606" i="3"/>
  <c r="N606" i="3" s="1"/>
  <c r="L606" i="3" l="1"/>
  <c r="AA607" i="3"/>
  <c r="P607" i="3"/>
  <c r="Q607" i="3" s="1"/>
  <c r="R607" i="3" s="1"/>
  <c r="S607" i="3" s="1"/>
  <c r="AC607" i="3"/>
  <c r="AD607" i="3"/>
  <c r="Z607" i="3"/>
  <c r="W606" i="3"/>
  <c r="T607" i="3" l="1"/>
  <c r="AH607" i="3" s="1"/>
  <c r="U606" i="3"/>
  <c r="Y605" i="3"/>
  <c r="E607" i="3" l="1"/>
  <c r="H607" i="3" s="1"/>
  <c r="K607" i="3" s="1"/>
  <c r="AE607" i="3" s="1"/>
  <c r="D607" i="3"/>
  <c r="AG607" i="3"/>
  <c r="F607" i="3" l="1"/>
  <c r="G607" i="3"/>
  <c r="I607" i="3" s="1"/>
  <c r="V607" i="3"/>
  <c r="A608" i="3"/>
  <c r="B608" i="3" s="1"/>
  <c r="M607" i="3" l="1"/>
  <c r="N607" i="3" s="1"/>
  <c r="J607" i="3"/>
  <c r="L607" i="3" s="1"/>
  <c r="AA608" i="3"/>
  <c r="P608" i="3"/>
  <c r="Q608" i="3" s="1"/>
  <c r="R608" i="3" s="1"/>
  <c r="S608" i="3" s="1"/>
  <c r="Z608" i="3"/>
  <c r="AC608" i="3"/>
  <c r="AD608" i="3"/>
  <c r="W607" i="3"/>
  <c r="U607" i="3" l="1"/>
  <c r="Y606" i="3"/>
  <c r="T608" i="3"/>
  <c r="AH608" i="3" s="1"/>
  <c r="E608" i="3" l="1"/>
  <c r="H608" i="3" s="1"/>
  <c r="D608" i="3"/>
  <c r="AG608" i="3"/>
  <c r="F608" i="3" l="1"/>
  <c r="G608" i="3"/>
  <c r="K608" i="3"/>
  <c r="AE608" i="3" s="1"/>
  <c r="V608" i="3" l="1"/>
  <c r="A609" i="3"/>
  <c r="B609" i="3" s="1"/>
  <c r="I608" i="3"/>
  <c r="J608" i="3"/>
  <c r="M608" i="3"/>
  <c r="N608" i="3" s="1"/>
  <c r="L608" i="3" l="1"/>
  <c r="AC609" i="3"/>
  <c r="P609" i="3"/>
  <c r="Q609" i="3" s="1"/>
  <c r="R609" i="3" s="1"/>
  <c r="S609" i="3" s="1"/>
  <c r="Z609" i="3"/>
  <c r="AD609" i="3"/>
  <c r="AA609" i="3"/>
  <c r="W608" i="3"/>
  <c r="U608" i="3" l="1"/>
  <c r="Y607" i="3"/>
  <c r="T609" i="3"/>
  <c r="D609" i="3" l="1"/>
  <c r="G609" i="3" s="1"/>
  <c r="E609" i="3"/>
  <c r="H609" i="3" s="1"/>
  <c r="AH609" i="3"/>
  <c r="AG609" i="3"/>
  <c r="K609" i="3" l="1"/>
  <c r="AE609" i="3" s="1"/>
  <c r="I609" i="3"/>
  <c r="J609" i="3"/>
  <c r="M609" i="3"/>
  <c r="N609" i="3" s="1"/>
  <c r="F609" i="3"/>
  <c r="V609" i="3" l="1"/>
  <c r="W609" i="3" s="1"/>
  <c r="A610" i="3"/>
  <c r="B610" i="3" s="1"/>
  <c r="L609" i="3"/>
  <c r="U609" i="3" l="1"/>
  <c r="Y608" i="3"/>
  <c r="AC610" i="3"/>
  <c r="AD610" i="3"/>
  <c r="AA610" i="3"/>
  <c r="Z610" i="3"/>
  <c r="P610" i="3"/>
  <c r="Q610" i="3" s="1"/>
  <c r="R610" i="3" s="1"/>
  <c r="S610" i="3" s="1"/>
  <c r="T610" i="3" l="1"/>
  <c r="AH610" i="3" s="1"/>
  <c r="AG610" i="3" l="1"/>
  <c r="D610" i="3"/>
  <c r="E610" i="3"/>
  <c r="H610" i="3" s="1"/>
  <c r="K610" i="3" s="1"/>
  <c r="AE610" i="3" s="1"/>
  <c r="F610" i="3" l="1"/>
  <c r="G610" i="3"/>
  <c r="I610" i="3" s="1"/>
  <c r="V610" i="3"/>
  <c r="A611" i="3"/>
  <c r="B611" i="3" s="1"/>
  <c r="M610" i="3" l="1"/>
  <c r="N610" i="3" s="1"/>
  <c r="J610" i="3"/>
  <c r="L610" i="3" s="1"/>
  <c r="P611" i="3"/>
  <c r="Q611" i="3" s="1"/>
  <c r="R611" i="3" s="1"/>
  <c r="S611" i="3" s="1"/>
  <c r="Z611" i="3"/>
  <c r="AA611" i="3"/>
  <c r="AC611" i="3"/>
  <c r="AD611" i="3"/>
  <c r="W610" i="3"/>
  <c r="T611" i="3" l="1"/>
  <c r="AH611" i="3" s="1"/>
  <c r="U610" i="3"/>
  <c r="Y609" i="3"/>
  <c r="AG611" i="3" l="1"/>
  <c r="D611" i="3"/>
  <c r="G611" i="3" s="1"/>
  <c r="E611" i="3"/>
  <c r="H611" i="3" s="1"/>
  <c r="K611" i="3" s="1"/>
  <c r="AE611" i="3" s="1"/>
  <c r="F611" i="3" l="1"/>
  <c r="V611" i="3"/>
  <c r="A612" i="3"/>
  <c r="B612" i="3" s="1"/>
  <c r="I611" i="3"/>
  <c r="J611" i="3"/>
  <c r="M611" i="3"/>
  <c r="N611" i="3" s="1"/>
  <c r="AD612" i="3" l="1"/>
  <c r="AC612" i="3"/>
  <c r="P612" i="3"/>
  <c r="Q612" i="3" s="1"/>
  <c r="R612" i="3" s="1"/>
  <c r="S612" i="3" s="1"/>
  <c r="AA612" i="3"/>
  <c r="Z612" i="3"/>
  <c r="L611" i="3"/>
  <c r="W611" i="3"/>
  <c r="T612" i="3" l="1"/>
  <c r="AG612" i="3" s="1"/>
  <c r="U611" i="3"/>
  <c r="Y610" i="3"/>
  <c r="D612" i="3" l="1"/>
  <c r="G612" i="3" s="1"/>
  <c r="AH612" i="3"/>
  <c r="E612" i="3"/>
  <c r="H612" i="3" s="1"/>
  <c r="K612" i="3" s="1"/>
  <c r="AE612" i="3" s="1"/>
  <c r="F612" i="3" l="1"/>
  <c r="V612" i="3"/>
  <c r="A613" i="3"/>
  <c r="B613" i="3" s="1"/>
  <c r="I612" i="3"/>
  <c r="J612" i="3"/>
  <c r="M612" i="3"/>
  <c r="N612" i="3" s="1"/>
  <c r="AA613" i="3" l="1"/>
  <c r="Z613" i="3"/>
  <c r="AC613" i="3"/>
  <c r="AD613" i="3"/>
  <c r="P613" i="3"/>
  <c r="Q613" i="3" s="1"/>
  <c r="R613" i="3" s="1"/>
  <c r="S613" i="3" s="1"/>
  <c r="L612" i="3"/>
  <c r="W612" i="3"/>
  <c r="T613" i="3" l="1"/>
  <c r="AH613" i="3" s="1"/>
  <c r="U612" i="3"/>
  <c r="Y611" i="3"/>
  <c r="E613" i="3" l="1"/>
  <c r="H613" i="3" s="1"/>
  <c r="K613" i="3" s="1"/>
  <c r="AE613" i="3" s="1"/>
  <c r="AG613" i="3"/>
  <c r="D613" i="3"/>
  <c r="F613" i="3" l="1"/>
  <c r="G613" i="3"/>
  <c r="I613" i="3" s="1"/>
  <c r="V613" i="3"/>
  <c r="A614" i="3"/>
  <c r="B614" i="3" s="1"/>
  <c r="M613" i="3" l="1"/>
  <c r="N613" i="3" s="1"/>
  <c r="J613" i="3"/>
  <c r="L613" i="3" s="1"/>
  <c r="W613" i="3"/>
  <c r="Z614" i="3"/>
  <c r="P614" i="3"/>
  <c r="Q614" i="3" s="1"/>
  <c r="R614" i="3" s="1"/>
  <c r="S614" i="3" s="1"/>
  <c r="AC614" i="3"/>
  <c r="AA614" i="3"/>
  <c r="T614" i="3" l="1"/>
  <c r="AG614" i="3" s="1"/>
  <c r="U613" i="3"/>
  <c r="Y612" i="3"/>
  <c r="AH614" i="3" l="1"/>
  <c r="D614" i="3"/>
  <c r="G614" i="3" s="1"/>
  <c r="E614" i="3"/>
  <c r="H614" i="3" s="1"/>
  <c r="K614" i="3" l="1"/>
  <c r="AE614" i="3" s="1"/>
  <c r="I614" i="3"/>
  <c r="J614" i="3"/>
  <c r="AD614" i="3" s="1"/>
  <c r="M614" i="3"/>
  <c r="N614" i="3" s="1"/>
  <c r="F614" i="3"/>
  <c r="L614" i="3" l="1"/>
  <c r="V614" i="3"/>
  <c r="W614" i="3" s="1"/>
  <c r="A615" i="3"/>
  <c r="B615" i="3" s="1"/>
  <c r="AD615" i="3" l="1"/>
  <c r="AA615" i="3"/>
  <c r="P615" i="3"/>
  <c r="Q615" i="3" s="1"/>
  <c r="R615" i="3" s="1"/>
  <c r="S615" i="3" s="1"/>
  <c r="AC615" i="3"/>
  <c r="Z615" i="3"/>
  <c r="U614" i="3"/>
  <c r="Y613" i="3"/>
  <c r="T615" i="3" l="1"/>
  <c r="E615" i="3" s="1"/>
  <c r="H615" i="3" s="1"/>
  <c r="AG615" i="3" l="1"/>
  <c r="D615" i="3"/>
  <c r="F615" i="3" s="1"/>
  <c r="AH615" i="3"/>
  <c r="K615" i="3"/>
  <c r="AE615" i="3" s="1"/>
  <c r="G615" i="3" l="1"/>
  <c r="I615" i="3" s="1"/>
  <c r="V615" i="3"/>
  <c r="A616" i="3"/>
  <c r="B616" i="3" s="1"/>
  <c r="M615" i="3" l="1"/>
  <c r="N615" i="3" s="1"/>
  <c r="J615" i="3"/>
  <c r="L615" i="3" s="1"/>
  <c r="W615" i="3"/>
  <c r="AC616" i="3"/>
  <c r="AA616" i="3"/>
  <c r="AD616" i="3"/>
  <c r="Z616" i="3"/>
  <c r="P616" i="3"/>
  <c r="Q616" i="3" s="1"/>
  <c r="R616" i="3" s="1"/>
  <c r="S616" i="3" s="1"/>
  <c r="T616" i="3" l="1"/>
  <c r="AH616" i="3" s="1"/>
  <c r="U615" i="3"/>
  <c r="Y614" i="3"/>
  <c r="AG616" i="3" l="1"/>
  <c r="E616" i="3"/>
  <c r="H616" i="3" s="1"/>
  <c r="K616" i="3" s="1"/>
  <c r="AE616" i="3" s="1"/>
  <c r="D616" i="3"/>
  <c r="F616" i="3" l="1"/>
  <c r="G616" i="3"/>
  <c r="I616" i="3" s="1"/>
  <c r="V616" i="3"/>
  <c r="A617" i="3"/>
  <c r="B617" i="3" s="1"/>
  <c r="M616" i="3" l="1"/>
  <c r="N616" i="3" s="1"/>
  <c r="J616" i="3"/>
  <c r="L616" i="3" s="1"/>
  <c r="W616" i="3"/>
  <c r="AA617" i="3"/>
  <c r="AD617" i="3"/>
  <c r="P617" i="3"/>
  <c r="Q617" i="3" s="1"/>
  <c r="R617" i="3" s="1"/>
  <c r="S617" i="3" s="1"/>
  <c r="Z617" i="3"/>
  <c r="AC617" i="3"/>
  <c r="U616" i="3" l="1"/>
  <c r="Y615" i="3"/>
  <c r="T617" i="3"/>
  <c r="E617" i="3" l="1"/>
  <c r="H617" i="3" s="1"/>
  <c r="K617" i="3" s="1"/>
  <c r="AE617" i="3" s="1"/>
  <c r="AH617" i="3"/>
  <c r="D617" i="3"/>
  <c r="AG617" i="3"/>
  <c r="F617" i="3" l="1"/>
  <c r="G617" i="3"/>
  <c r="I617" i="3" s="1"/>
  <c r="V617" i="3"/>
  <c r="A618" i="3"/>
  <c r="B618" i="3" s="1"/>
  <c r="M617" i="3" l="1"/>
  <c r="N617" i="3" s="1"/>
  <c r="J617" i="3"/>
  <c r="L617" i="3" s="1"/>
  <c r="W617" i="3"/>
  <c r="AD618" i="3"/>
  <c r="P618" i="3"/>
  <c r="Q618" i="3" s="1"/>
  <c r="R618" i="3" s="1"/>
  <c r="S618" i="3" s="1"/>
  <c r="AA618" i="3"/>
  <c r="AC618" i="3"/>
  <c r="Z618" i="3"/>
  <c r="T618" i="3" l="1"/>
  <c r="AH618" i="3" s="1"/>
  <c r="U617" i="3"/>
  <c r="Y616" i="3"/>
  <c r="AG618" i="3" l="1"/>
  <c r="E618" i="3"/>
  <c r="H618" i="3" s="1"/>
  <c r="K618" i="3" s="1"/>
  <c r="AE618" i="3" s="1"/>
  <c r="D618" i="3"/>
  <c r="F618" i="3" l="1"/>
  <c r="G618" i="3"/>
  <c r="I618" i="3" s="1"/>
  <c r="V618" i="3"/>
  <c r="A619" i="3"/>
  <c r="B619" i="3" s="1"/>
  <c r="M618" i="3" l="1"/>
  <c r="N618" i="3" s="1"/>
  <c r="J618" i="3"/>
  <c r="L618" i="3" s="1"/>
  <c r="W618" i="3"/>
  <c r="Z619" i="3"/>
  <c r="P619" i="3"/>
  <c r="Q619" i="3" s="1"/>
  <c r="R619" i="3" s="1"/>
  <c r="S619" i="3" s="1"/>
  <c r="AA619" i="3"/>
  <c r="AD619" i="3"/>
  <c r="AC619" i="3"/>
  <c r="T619" i="3" l="1"/>
  <c r="AG619" i="3" s="1"/>
  <c r="U618" i="3"/>
  <c r="Y617" i="3"/>
  <c r="D619" i="3" l="1"/>
  <c r="G619" i="3" s="1"/>
  <c r="E619" i="3"/>
  <c r="H619" i="3" s="1"/>
  <c r="K619" i="3" s="1"/>
  <c r="AE619" i="3" s="1"/>
  <c r="AH619" i="3"/>
  <c r="F619" i="3" l="1"/>
  <c r="V619" i="3"/>
  <c r="A620" i="3"/>
  <c r="B620" i="3" s="1"/>
  <c r="I619" i="3"/>
  <c r="J619" i="3"/>
  <c r="M619" i="3"/>
  <c r="N619" i="3" s="1"/>
  <c r="AA620" i="3" l="1"/>
  <c r="Z620" i="3"/>
  <c r="AC620" i="3"/>
  <c r="P620" i="3"/>
  <c r="Q620" i="3" s="1"/>
  <c r="R620" i="3" s="1"/>
  <c r="S620" i="3" s="1"/>
  <c r="AD620" i="3"/>
  <c r="L619" i="3"/>
  <c r="W619" i="3"/>
  <c r="T620" i="3" l="1"/>
  <c r="AG620" i="3" s="1"/>
  <c r="U619" i="3"/>
  <c r="Y618" i="3"/>
  <c r="E620" i="3" l="1"/>
  <c r="H620" i="3" s="1"/>
  <c r="K620" i="3" s="1"/>
  <c r="AE620" i="3" s="1"/>
  <c r="AH620" i="3"/>
  <c r="D620" i="3"/>
  <c r="F620" i="3" l="1"/>
  <c r="G620" i="3"/>
  <c r="I620" i="3" s="1"/>
  <c r="V620" i="3"/>
  <c r="A621" i="3"/>
  <c r="B621" i="3" s="1"/>
  <c r="M620" i="3" l="1"/>
  <c r="N620" i="3" s="1"/>
  <c r="J620" i="3"/>
  <c r="L620" i="3" s="1"/>
  <c r="W620" i="3"/>
  <c r="AC621" i="3"/>
  <c r="AA621" i="3"/>
  <c r="P621" i="3"/>
  <c r="Q621" i="3" s="1"/>
  <c r="R621" i="3" s="1"/>
  <c r="S621" i="3" s="1"/>
  <c r="Z621" i="3"/>
  <c r="AD621" i="3"/>
  <c r="T621" i="3" l="1"/>
  <c r="U620" i="3"/>
  <c r="Y619" i="3"/>
  <c r="E621" i="3" l="1"/>
  <c r="H621" i="3" s="1"/>
  <c r="K621" i="3" s="1"/>
  <c r="AE621" i="3" s="1"/>
  <c r="D621" i="3"/>
  <c r="G621" i="3" s="1"/>
  <c r="AH621" i="3"/>
  <c r="AG621" i="3"/>
  <c r="F621" i="3" l="1"/>
  <c r="I621" i="3"/>
  <c r="J621" i="3"/>
  <c r="M621" i="3"/>
  <c r="N621" i="3" s="1"/>
  <c r="V621" i="3"/>
  <c r="A622" i="3"/>
  <c r="B622" i="3" s="1"/>
  <c r="W621" i="3" l="1"/>
  <c r="P622" i="3"/>
  <c r="Q622" i="3" s="1"/>
  <c r="R622" i="3" s="1"/>
  <c r="S622" i="3" s="1"/>
  <c r="AC622" i="3"/>
  <c r="Z622" i="3"/>
  <c r="AD622" i="3"/>
  <c r="AA622" i="3"/>
  <c r="L621" i="3"/>
  <c r="U621" i="3" l="1"/>
  <c r="Y620" i="3"/>
  <c r="T622" i="3"/>
  <c r="E622" i="3" l="1"/>
  <c r="H622" i="3" s="1"/>
  <c r="K622" i="3" s="1"/>
  <c r="AE622" i="3" s="1"/>
  <c r="AH622" i="3"/>
  <c r="AG622" i="3"/>
  <c r="D622" i="3"/>
  <c r="F622" i="3" l="1"/>
  <c r="G622" i="3"/>
  <c r="M622" i="3" s="1"/>
  <c r="N622" i="3" s="1"/>
  <c r="V622" i="3"/>
  <c r="A623" i="3"/>
  <c r="B623" i="3" s="1"/>
  <c r="J622" i="3" l="1"/>
  <c r="L622" i="3" s="1"/>
  <c r="I622" i="3"/>
  <c r="W622" i="3" s="1"/>
  <c r="Z623" i="3"/>
  <c r="AD623" i="3"/>
  <c r="P623" i="3"/>
  <c r="Q623" i="3" s="1"/>
  <c r="R623" i="3" s="1"/>
  <c r="S623" i="3" s="1"/>
  <c r="AC623" i="3"/>
  <c r="AA623" i="3"/>
  <c r="T623" i="3" l="1"/>
  <c r="AH623" i="3" s="1"/>
  <c r="U622" i="3"/>
  <c r="Y621" i="3"/>
  <c r="D623" i="3" l="1"/>
  <c r="G623" i="3" s="1"/>
  <c r="AG623" i="3"/>
  <c r="E623" i="3"/>
  <c r="H623" i="3" s="1"/>
  <c r="K623" i="3" l="1"/>
  <c r="AE623" i="3" s="1"/>
  <c r="I623" i="3"/>
  <c r="J623" i="3"/>
  <c r="M623" i="3"/>
  <c r="N623" i="3" s="1"/>
  <c r="F623" i="3"/>
  <c r="L623" i="3" l="1"/>
  <c r="V623" i="3"/>
  <c r="W623" i="3" s="1"/>
  <c r="A624" i="3"/>
  <c r="B624" i="3" s="1"/>
  <c r="Z624" i="3" l="1"/>
  <c r="P624" i="3"/>
  <c r="Q624" i="3" s="1"/>
  <c r="R624" i="3" s="1"/>
  <c r="S624" i="3" s="1"/>
  <c r="AC624" i="3"/>
  <c r="AA624" i="3"/>
  <c r="U623" i="3"/>
  <c r="Y622" i="3"/>
  <c r="T624" i="3" l="1"/>
  <c r="E624" i="3" s="1"/>
  <c r="H624" i="3" s="1"/>
  <c r="AH624" i="3" l="1"/>
  <c r="AG624" i="3"/>
  <c r="D624" i="3"/>
  <c r="F624" i="3" s="1"/>
  <c r="K624" i="3"/>
  <c r="AE624" i="3" s="1"/>
  <c r="G624" i="3" l="1"/>
  <c r="I624" i="3" s="1"/>
  <c r="V624" i="3"/>
  <c r="A625" i="3"/>
  <c r="B625" i="3" s="1"/>
  <c r="M624" i="3" l="1"/>
  <c r="N624" i="3" s="1"/>
  <c r="J624" i="3"/>
  <c r="AD624" i="3" s="1"/>
  <c r="AC625" i="3"/>
  <c r="Z625" i="3"/>
  <c r="P625" i="3"/>
  <c r="Q625" i="3" s="1"/>
  <c r="R625" i="3" s="1"/>
  <c r="S625" i="3" s="1"/>
  <c r="AA625" i="3"/>
  <c r="AD625" i="3"/>
  <c r="W624" i="3"/>
  <c r="L624" i="3" l="1"/>
  <c r="Y623" i="3" s="1"/>
  <c r="T625" i="3"/>
  <c r="U624" i="3" l="1"/>
  <c r="D625" i="3" s="1"/>
  <c r="AH625" i="3"/>
  <c r="AG625" i="3"/>
  <c r="E625" i="3" l="1"/>
  <c r="H625" i="3" s="1"/>
  <c r="K625" i="3" s="1"/>
  <c r="AE625" i="3" s="1"/>
  <c r="G625" i="3"/>
  <c r="A626" i="3" l="1"/>
  <c r="B626" i="3" s="1"/>
  <c r="AC626" i="3" s="1"/>
  <c r="V625" i="3"/>
  <c r="I625" i="3"/>
  <c r="F625" i="3"/>
  <c r="M625" i="3"/>
  <c r="N625" i="3" s="1"/>
  <c r="J625" i="3"/>
  <c r="L625" i="3" s="1"/>
  <c r="Z626" i="3" l="1"/>
  <c r="AD626" i="3"/>
  <c r="W625" i="3"/>
  <c r="AA626" i="3"/>
  <c r="P626" i="3"/>
  <c r="Q626" i="3" s="1"/>
  <c r="R626" i="3" s="1"/>
  <c r="S626" i="3" s="1"/>
  <c r="T626" i="3" s="1"/>
  <c r="U625" i="3"/>
  <c r="Y624" i="3"/>
  <c r="AH626" i="3" l="1"/>
  <c r="AG626" i="3"/>
  <c r="D626" i="3"/>
  <c r="G626" i="3" s="1"/>
  <c r="E626" i="3"/>
  <c r="H626" i="3" s="1"/>
  <c r="I626" i="3" l="1"/>
  <c r="J626" i="3"/>
  <c r="M626" i="3"/>
  <c r="N626" i="3" s="1"/>
  <c r="K626" i="3"/>
  <c r="AE626" i="3" s="1"/>
  <c r="F626" i="3"/>
  <c r="V626" i="3" l="1"/>
  <c r="W626" i="3" s="1"/>
  <c r="A627" i="3"/>
  <c r="B627" i="3" s="1"/>
  <c r="L626" i="3"/>
  <c r="AD627" i="3" l="1"/>
  <c r="P627" i="3"/>
  <c r="Q627" i="3" s="1"/>
  <c r="R627" i="3" s="1"/>
  <c r="S627" i="3" s="1"/>
  <c r="AC627" i="3"/>
  <c r="AA627" i="3"/>
  <c r="Z627" i="3"/>
  <c r="U626" i="3"/>
  <c r="Y625" i="3"/>
  <c r="T627" i="3" l="1"/>
  <c r="D627" i="3" s="1"/>
  <c r="AG627" i="3" l="1"/>
  <c r="AH627" i="3"/>
  <c r="E627" i="3"/>
  <c r="H627" i="3" s="1"/>
  <c r="K627" i="3" s="1"/>
  <c r="AE627" i="3" s="1"/>
  <c r="G627" i="3"/>
  <c r="F627" i="3" l="1"/>
  <c r="I627" i="3"/>
  <c r="J627" i="3"/>
  <c r="M627" i="3"/>
  <c r="N627" i="3" s="1"/>
  <c r="V627" i="3"/>
  <c r="A628" i="3"/>
  <c r="B628" i="3" s="1"/>
  <c r="W627" i="3" l="1"/>
  <c r="AC628" i="3"/>
  <c r="AD628" i="3"/>
  <c r="Z628" i="3"/>
  <c r="AA628" i="3"/>
  <c r="P628" i="3"/>
  <c r="Q628" i="3" s="1"/>
  <c r="R628" i="3" s="1"/>
  <c r="S628" i="3" s="1"/>
  <c r="L627" i="3"/>
  <c r="T628" i="3" l="1"/>
  <c r="AH628" i="3" s="1"/>
  <c r="U627" i="3"/>
  <c r="Y626" i="3"/>
  <c r="AG628" i="3" l="1"/>
  <c r="D628" i="3"/>
  <c r="G628" i="3" s="1"/>
  <c r="E628" i="3"/>
  <c r="H628" i="3" s="1"/>
  <c r="K628" i="3" l="1"/>
  <c r="AE628" i="3" s="1"/>
  <c r="I628" i="3"/>
  <c r="J628" i="3"/>
  <c r="M628" i="3"/>
  <c r="N628" i="3" s="1"/>
  <c r="F628" i="3"/>
  <c r="L628" i="3" l="1"/>
  <c r="V628" i="3"/>
  <c r="W628" i="3" s="1"/>
  <c r="A629" i="3"/>
  <c r="B629" i="3" s="1"/>
  <c r="Z629" i="3" l="1"/>
  <c r="AC629" i="3"/>
  <c r="AA629" i="3"/>
  <c r="P629" i="3"/>
  <c r="Q629" i="3" s="1"/>
  <c r="R629" i="3" s="1"/>
  <c r="S629" i="3" s="1"/>
  <c r="AD629" i="3"/>
  <c r="U628" i="3"/>
  <c r="Y627" i="3"/>
  <c r="T629" i="3" l="1"/>
  <c r="D629" i="3" s="1"/>
  <c r="AG629" i="3" l="1"/>
  <c r="AH629" i="3"/>
  <c r="E629" i="3"/>
  <c r="H629" i="3" s="1"/>
  <c r="K629" i="3" s="1"/>
  <c r="AE629" i="3" s="1"/>
  <c r="G629" i="3"/>
  <c r="F629" i="3" l="1"/>
  <c r="V629" i="3"/>
  <c r="A630" i="3"/>
  <c r="B630" i="3" s="1"/>
  <c r="I629" i="3"/>
  <c r="J629" i="3"/>
  <c r="M629" i="3"/>
  <c r="N629" i="3" s="1"/>
  <c r="L629" i="3" l="1"/>
  <c r="AA630" i="3"/>
  <c r="Z630" i="3"/>
  <c r="AD630" i="3"/>
  <c r="P630" i="3"/>
  <c r="Q630" i="3" s="1"/>
  <c r="R630" i="3" s="1"/>
  <c r="S630" i="3" s="1"/>
  <c r="AC630" i="3"/>
  <c r="W629" i="3"/>
  <c r="T630" i="3" l="1"/>
  <c r="AH630" i="3" s="1"/>
  <c r="U629" i="3"/>
  <c r="Y628" i="3"/>
  <c r="D630" i="3" l="1"/>
  <c r="G630" i="3" s="1"/>
  <c r="E630" i="3"/>
  <c r="H630" i="3" s="1"/>
  <c r="K630" i="3" s="1"/>
  <c r="AE630" i="3" s="1"/>
  <c r="AG630" i="3"/>
  <c r="F630" i="3" l="1"/>
  <c r="V630" i="3"/>
  <c r="A631" i="3"/>
  <c r="B631" i="3" s="1"/>
  <c r="I630" i="3"/>
  <c r="J630" i="3"/>
  <c r="M630" i="3"/>
  <c r="N630" i="3" s="1"/>
  <c r="L630" i="3" l="1"/>
  <c r="AC631" i="3"/>
  <c r="AA631" i="3"/>
  <c r="Z631" i="3"/>
  <c r="AD631" i="3"/>
  <c r="P631" i="3"/>
  <c r="Q631" i="3" s="1"/>
  <c r="R631" i="3" s="1"/>
  <c r="S631" i="3" s="1"/>
  <c r="W630" i="3"/>
  <c r="T631" i="3" l="1"/>
  <c r="AG631" i="3" s="1"/>
  <c r="U630" i="3"/>
  <c r="Y629" i="3"/>
  <c r="E631" i="3" l="1"/>
  <c r="H631" i="3" s="1"/>
  <c r="K631" i="3" s="1"/>
  <c r="AE631" i="3" s="1"/>
  <c r="AH631" i="3"/>
  <c r="D631" i="3"/>
  <c r="G631" i="3" s="1"/>
  <c r="F631" i="3" l="1"/>
  <c r="I631" i="3"/>
  <c r="J631" i="3"/>
  <c r="M631" i="3"/>
  <c r="N631" i="3" s="1"/>
  <c r="V631" i="3"/>
  <c r="A632" i="3"/>
  <c r="B632" i="3" s="1"/>
  <c r="W631" i="3" l="1"/>
  <c r="AC632" i="3"/>
  <c r="AA632" i="3"/>
  <c r="Z632" i="3"/>
  <c r="P632" i="3"/>
  <c r="Q632" i="3" s="1"/>
  <c r="R632" i="3" s="1"/>
  <c r="S632" i="3" s="1"/>
  <c r="AD632" i="3"/>
  <c r="L631" i="3"/>
  <c r="U631" i="3" l="1"/>
  <c r="Y630" i="3"/>
  <c r="T632" i="3"/>
  <c r="D632" i="3" l="1"/>
  <c r="G632" i="3" s="1"/>
  <c r="E632" i="3"/>
  <c r="H632" i="3" s="1"/>
  <c r="K632" i="3" s="1"/>
  <c r="AE632" i="3" s="1"/>
  <c r="AG632" i="3"/>
  <c r="AH632" i="3"/>
  <c r="F632" i="3" l="1"/>
  <c r="I632" i="3"/>
  <c r="J632" i="3"/>
  <c r="M632" i="3"/>
  <c r="N632" i="3" s="1"/>
  <c r="V632" i="3"/>
  <c r="A633" i="3"/>
  <c r="B633" i="3" s="1"/>
  <c r="W632" i="3" l="1"/>
  <c r="AA633" i="3"/>
  <c r="AD633" i="3"/>
  <c r="P633" i="3"/>
  <c r="Q633" i="3" s="1"/>
  <c r="R633" i="3" s="1"/>
  <c r="S633" i="3" s="1"/>
  <c r="AC633" i="3"/>
  <c r="Z633" i="3"/>
  <c r="L632" i="3"/>
  <c r="T633" i="3" l="1"/>
  <c r="AG633" i="3" s="1"/>
  <c r="U632" i="3"/>
  <c r="Y631" i="3"/>
  <c r="E633" i="3" l="1"/>
  <c r="H633" i="3" s="1"/>
  <c r="K633" i="3" s="1"/>
  <c r="AE633" i="3" s="1"/>
  <c r="AH633" i="3"/>
  <c r="D633" i="3"/>
  <c r="F633" i="3" l="1"/>
  <c r="G633" i="3"/>
  <c r="I633" i="3" s="1"/>
  <c r="V633" i="3"/>
  <c r="A634" i="3"/>
  <c r="B634" i="3" s="1"/>
  <c r="J633" i="3" l="1"/>
  <c r="L633" i="3" s="1"/>
  <c r="M633" i="3"/>
  <c r="N633" i="3" s="1"/>
  <c r="W633" i="3"/>
  <c r="AA634" i="3"/>
  <c r="AC634" i="3"/>
  <c r="Z634" i="3"/>
  <c r="P634" i="3"/>
  <c r="Q634" i="3" s="1"/>
  <c r="R634" i="3" s="1"/>
  <c r="S634" i="3" s="1"/>
  <c r="T634" i="3" l="1"/>
  <c r="AG634" i="3" s="1"/>
  <c r="U633" i="3"/>
  <c r="Y632" i="3"/>
  <c r="D634" i="3" l="1"/>
  <c r="G634" i="3" s="1"/>
  <c r="E634" i="3"/>
  <c r="H634" i="3" s="1"/>
  <c r="K634" i="3" s="1"/>
  <c r="AE634" i="3" s="1"/>
  <c r="AH634" i="3"/>
  <c r="F634" i="3" l="1"/>
  <c r="I634" i="3"/>
  <c r="J634" i="3"/>
  <c r="AD634" i="3" s="1"/>
  <c r="M634" i="3"/>
  <c r="N634" i="3" s="1"/>
  <c r="V634" i="3"/>
  <c r="A635" i="3"/>
  <c r="B635" i="3" s="1"/>
  <c r="W634" i="3" l="1"/>
  <c r="AD635" i="3"/>
  <c r="P635" i="3"/>
  <c r="Q635" i="3" s="1"/>
  <c r="R635" i="3" s="1"/>
  <c r="S635" i="3" s="1"/>
  <c r="AA635" i="3"/>
  <c r="Z635" i="3"/>
  <c r="AC635" i="3"/>
  <c r="L634" i="3"/>
  <c r="T635" i="3" l="1"/>
  <c r="AH635" i="3" s="1"/>
  <c r="U634" i="3"/>
  <c r="Y633" i="3"/>
  <c r="E635" i="3" l="1"/>
  <c r="H635" i="3" s="1"/>
  <c r="K635" i="3" s="1"/>
  <c r="AE635" i="3" s="1"/>
  <c r="D635" i="3"/>
  <c r="AG635" i="3"/>
  <c r="F635" i="3" l="1"/>
  <c r="G635" i="3"/>
  <c r="J635" i="3" s="1"/>
  <c r="V635" i="3"/>
  <c r="A636" i="3"/>
  <c r="B636" i="3" s="1"/>
  <c r="M635" i="3" l="1"/>
  <c r="N635" i="3" s="1"/>
  <c r="I635" i="3"/>
  <c r="W635" i="3" s="1"/>
  <c r="Z636" i="3"/>
  <c r="P636" i="3"/>
  <c r="Q636" i="3" s="1"/>
  <c r="R636" i="3" s="1"/>
  <c r="S636" i="3" s="1"/>
  <c r="AC636" i="3"/>
  <c r="AD636" i="3"/>
  <c r="AA636" i="3"/>
  <c r="L635" i="3"/>
  <c r="T636" i="3" l="1"/>
  <c r="AH636" i="3" s="1"/>
  <c r="U635" i="3"/>
  <c r="Y634" i="3"/>
  <c r="AG636" i="3" l="1"/>
  <c r="D636" i="3"/>
  <c r="G636" i="3" s="1"/>
  <c r="E636" i="3"/>
  <c r="H636" i="3" s="1"/>
  <c r="K636" i="3" s="1"/>
  <c r="AE636" i="3" s="1"/>
  <c r="F636" i="3" l="1"/>
  <c r="V636" i="3"/>
  <c r="A637" i="3"/>
  <c r="B637" i="3" s="1"/>
  <c r="I636" i="3"/>
  <c r="J636" i="3"/>
  <c r="M636" i="3"/>
  <c r="N636" i="3" s="1"/>
  <c r="L636" i="3" l="1"/>
  <c r="AC637" i="3"/>
  <c r="AD637" i="3"/>
  <c r="AA637" i="3"/>
  <c r="Z637" i="3"/>
  <c r="P637" i="3"/>
  <c r="Q637" i="3" s="1"/>
  <c r="R637" i="3" s="1"/>
  <c r="S637" i="3" s="1"/>
  <c r="W636" i="3"/>
  <c r="T637" i="3" l="1"/>
  <c r="AG637" i="3" s="1"/>
  <c r="U636" i="3"/>
  <c r="Y635" i="3"/>
  <c r="AH637" i="3" l="1"/>
  <c r="E637" i="3"/>
  <c r="H637" i="3" s="1"/>
  <c r="K637" i="3" s="1"/>
  <c r="AE637" i="3" s="1"/>
  <c r="D637" i="3"/>
  <c r="G637" i="3" s="1"/>
  <c r="F637" i="3" l="1"/>
  <c r="V637" i="3"/>
  <c r="A638" i="3"/>
  <c r="B638" i="3" s="1"/>
  <c r="I637" i="3"/>
  <c r="J637" i="3"/>
  <c r="M637" i="3"/>
  <c r="N637" i="3" s="1"/>
  <c r="L637" i="3" l="1"/>
  <c r="Z638" i="3"/>
  <c r="P638" i="3"/>
  <c r="Q638" i="3" s="1"/>
  <c r="R638" i="3" s="1"/>
  <c r="S638" i="3" s="1"/>
  <c r="AC638" i="3"/>
  <c r="AA638" i="3"/>
  <c r="AD638" i="3"/>
  <c r="W637" i="3"/>
  <c r="T638" i="3" l="1"/>
  <c r="AG638" i="3" s="1"/>
  <c r="U637" i="3"/>
  <c r="Y636" i="3"/>
  <c r="E638" i="3" l="1"/>
  <c r="H638" i="3" s="1"/>
  <c r="K638" i="3" s="1"/>
  <c r="AE638" i="3" s="1"/>
  <c r="AH638" i="3"/>
  <c r="D638" i="3"/>
  <c r="F638" i="3" l="1"/>
  <c r="G638" i="3"/>
  <c r="I638" i="3" s="1"/>
  <c r="V638" i="3"/>
  <c r="A639" i="3"/>
  <c r="B639" i="3" s="1"/>
  <c r="M638" i="3" l="1"/>
  <c r="N638" i="3" s="1"/>
  <c r="J638" i="3"/>
  <c r="L638" i="3" s="1"/>
  <c r="AA639" i="3"/>
  <c r="AC639" i="3"/>
  <c r="P639" i="3"/>
  <c r="Q639" i="3" s="1"/>
  <c r="R639" i="3" s="1"/>
  <c r="S639" i="3" s="1"/>
  <c r="Z639" i="3"/>
  <c r="AD639" i="3"/>
  <c r="W638" i="3"/>
  <c r="T639" i="3" l="1"/>
  <c r="AH639" i="3" s="1"/>
  <c r="U638" i="3"/>
  <c r="Y637" i="3"/>
  <c r="E639" i="3" l="1"/>
  <c r="H639" i="3" s="1"/>
  <c r="K639" i="3" s="1"/>
  <c r="AE639" i="3" s="1"/>
  <c r="AG639" i="3"/>
  <c r="D639" i="3"/>
  <c r="V639" i="3" l="1"/>
  <c r="A640" i="3"/>
  <c r="B640" i="3" s="1"/>
  <c r="F639" i="3"/>
  <c r="G639" i="3"/>
  <c r="AC640" i="3" l="1"/>
  <c r="P640" i="3"/>
  <c r="Q640" i="3" s="1"/>
  <c r="R640" i="3" s="1"/>
  <c r="S640" i="3" s="1"/>
  <c r="AA640" i="3"/>
  <c r="AD640" i="3"/>
  <c r="Z640" i="3"/>
  <c r="I639" i="3"/>
  <c r="W639" i="3" s="1"/>
  <c r="J639" i="3"/>
  <c r="M639" i="3"/>
  <c r="N639" i="3" s="1"/>
  <c r="L639" i="3" l="1"/>
  <c r="T640" i="3"/>
  <c r="U639" i="3" l="1"/>
  <c r="D640" i="3" s="1"/>
  <c r="AH640" i="3"/>
  <c r="AG640" i="3"/>
  <c r="Y638" i="3"/>
  <c r="E640" i="3" l="1"/>
  <c r="H640" i="3" s="1"/>
  <c r="K640" i="3" s="1"/>
  <c r="AE640" i="3" s="1"/>
  <c r="G640" i="3"/>
  <c r="F640" i="3" l="1"/>
  <c r="I640" i="3"/>
  <c r="J640" i="3"/>
  <c r="M640" i="3"/>
  <c r="N640" i="3" s="1"/>
  <c r="V640" i="3"/>
  <c r="A641" i="3"/>
  <c r="B641" i="3" s="1"/>
  <c r="W640" i="3" l="1"/>
  <c r="P641" i="3"/>
  <c r="Q641" i="3" s="1"/>
  <c r="R641" i="3" s="1"/>
  <c r="S641" i="3" s="1"/>
  <c r="AA641" i="3"/>
  <c r="AD641" i="3"/>
  <c r="Z641" i="3"/>
  <c r="AC641" i="3"/>
  <c r="L640" i="3"/>
  <c r="U640" i="3" l="1"/>
  <c r="Y639" i="3"/>
  <c r="T641" i="3"/>
  <c r="E641" i="3" l="1"/>
  <c r="H641" i="3" s="1"/>
  <c r="K641" i="3" s="1"/>
  <c r="AE641" i="3" s="1"/>
  <c r="AG641" i="3"/>
  <c r="D641" i="3"/>
  <c r="AH641" i="3"/>
  <c r="F641" i="3" l="1"/>
  <c r="G641" i="3"/>
  <c r="V641" i="3"/>
  <c r="A642" i="3"/>
  <c r="B642" i="3" s="1"/>
  <c r="Z642" i="3" l="1"/>
  <c r="AD642" i="3"/>
  <c r="P642" i="3"/>
  <c r="Q642" i="3" s="1"/>
  <c r="R642" i="3" s="1"/>
  <c r="S642" i="3" s="1"/>
  <c r="AC642" i="3"/>
  <c r="AA642" i="3"/>
  <c r="I641" i="3"/>
  <c r="W641" i="3" s="1"/>
  <c r="J641" i="3"/>
  <c r="M641" i="3"/>
  <c r="N641" i="3" s="1"/>
  <c r="T642" i="3" l="1"/>
  <c r="L641" i="3"/>
  <c r="AG642" i="3" l="1"/>
  <c r="U641" i="3"/>
  <c r="E642" i="3" s="1"/>
  <c r="H642" i="3" s="1"/>
  <c r="AH642" i="3"/>
  <c r="Y640" i="3"/>
  <c r="D642" i="3" l="1"/>
  <c r="F642" i="3" s="1"/>
  <c r="K642" i="3"/>
  <c r="AE642" i="3" s="1"/>
  <c r="G642" i="3" l="1"/>
  <c r="I642" i="3" s="1"/>
  <c r="V642" i="3"/>
  <c r="A643" i="3"/>
  <c r="B643" i="3" s="1"/>
  <c r="M642" i="3" l="1"/>
  <c r="N642" i="3" s="1"/>
  <c r="J642" i="3"/>
  <c r="L642" i="3" s="1"/>
  <c r="W642" i="3"/>
  <c r="AA643" i="3"/>
  <c r="AD643" i="3"/>
  <c r="AC643" i="3"/>
  <c r="P643" i="3"/>
  <c r="Q643" i="3" s="1"/>
  <c r="R643" i="3" s="1"/>
  <c r="S643" i="3" s="1"/>
  <c r="Z643" i="3"/>
  <c r="T643" i="3" l="1"/>
  <c r="AG643" i="3" s="1"/>
  <c r="U642" i="3"/>
  <c r="Y641" i="3"/>
  <c r="AH643" i="3" l="1"/>
  <c r="E643" i="3"/>
  <c r="H643" i="3" s="1"/>
  <c r="K643" i="3" s="1"/>
  <c r="AE643" i="3" s="1"/>
  <c r="D643" i="3"/>
  <c r="F643" i="3" l="1"/>
  <c r="G643" i="3"/>
  <c r="I643" i="3" s="1"/>
  <c r="V643" i="3"/>
  <c r="A644" i="3"/>
  <c r="B644" i="3" s="1"/>
  <c r="M643" i="3" l="1"/>
  <c r="N643" i="3" s="1"/>
  <c r="J643" i="3"/>
  <c r="L643" i="3" s="1"/>
  <c r="AA644" i="3"/>
  <c r="P644" i="3"/>
  <c r="Q644" i="3" s="1"/>
  <c r="R644" i="3" s="1"/>
  <c r="S644" i="3" s="1"/>
  <c r="Z644" i="3"/>
  <c r="AC644" i="3"/>
  <c r="W643" i="3"/>
  <c r="U643" i="3" l="1"/>
  <c r="Y642" i="3"/>
  <c r="T644" i="3"/>
  <c r="E644" i="3" l="1"/>
  <c r="H644" i="3" s="1"/>
  <c r="K644" i="3" s="1"/>
  <c r="AE644" i="3" s="1"/>
  <c r="AH644" i="3"/>
  <c r="AG644" i="3"/>
  <c r="D644" i="3"/>
  <c r="F644" i="3" l="1"/>
  <c r="G644" i="3"/>
  <c r="V644" i="3"/>
  <c r="A645" i="3"/>
  <c r="B645" i="3" s="1"/>
  <c r="AA645" i="3" l="1"/>
  <c r="AC645" i="3"/>
  <c r="Z645" i="3"/>
  <c r="P645" i="3"/>
  <c r="Q645" i="3" s="1"/>
  <c r="R645" i="3" s="1"/>
  <c r="S645" i="3" s="1"/>
  <c r="AD645" i="3"/>
  <c r="I644" i="3"/>
  <c r="W644" i="3" s="1"/>
  <c r="J644" i="3"/>
  <c r="AD644" i="3" s="1"/>
  <c r="M644" i="3"/>
  <c r="N644" i="3" s="1"/>
  <c r="T645" i="3" l="1"/>
  <c r="L644" i="3"/>
  <c r="AH645" i="3" l="1"/>
  <c r="AG645" i="3"/>
  <c r="U644" i="3"/>
  <c r="D645" i="3" s="1"/>
  <c r="Y643" i="3"/>
  <c r="G645" i="3" l="1"/>
  <c r="E645" i="3"/>
  <c r="H645" i="3" s="1"/>
  <c r="K645" i="3" l="1"/>
  <c r="AE645" i="3" s="1"/>
  <c r="I645" i="3"/>
  <c r="J645" i="3"/>
  <c r="M645" i="3"/>
  <c r="N645" i="3" s="1"/>
  <c r="F645" i="3"/>
  <c r="L645" i="3" l="1"/>
  <c r="V645" i="3"/>
  <c r="W645" i="3" s="1"/>
  <c r="A646" i="3"/>
  <c r="B646" i="3" s="1"/>
  <c r="Z646" i="3" l="1"/>
  <c r="P646" i="3"/>
  <c r="Q646" i="3" s="1"/>
  <c r="R646" i="3" s="1"/>
  <c r="S646" i="3" s="1"/>
  <c r="AD646" i="3"/>
  <c r="AC646" i="3"/>
  <c r="AA646" i="3"/>
  <c r="U645" i="3"/>
  <c r="Y644" i="3"/>
  <c r="T646" i="3" l="1"/>
  <c r="AG646" i="3" l="1"/>
  <c r="AH646" i="3"/>
  <c r="E646" i="3"/>
  <c r="H646" i="3" s="1"/>
  <c r="D646" i="3"/>
  <c r="K646" i="3" l="1"/>
  <c r="AE646" i="3" s="1"/>
  <c r="F646" i="3"/>
  <c r="G646" i="3"/>
  <c r="I646" i="3" l="1"/>
  <c r="J646" i="3"/>
  <c r="M646" i="3"/>
  <c r="N646" i="3" s="1"/>
  <c r="V646" i="3"/>
  <c r="A647" i="3"/>
  <c r="B647" i="3" s="1"/>
  <c r="W646" i="3" l="1"/>
  <c r="AC647" i="3"/>
  <c r="AD647" i="3"/>
  <c r="P647" i="3"/>
  <c r="Q647" i="3" s="1"/>
  <c r="R647" i="3" s="1"/>
  <c r="S647" i="3" s="1"/>
  <c r="Z647" i="3"/>
  <c r="AA647" i="3"/>
  <c r="L646" i="3"/>
  <c r="T647" i="3" l="1"/>
  <c r="AH647" i="3" s="1"/>
  <c r="U646" i="3"/>
  <c r="Y645" i="3"/>
  <c r="AG647" i="3" l="1"/>
  <c r="E647" i="3"/>
  <c r="H647" i="3" s="1"/>
  <c r="K647" i="3" s="1"/>
  <c r="AE647" i="3" s="1"/>
  <c r="D647" i="3"/>
  <c r="G647" i="3" s="1"/>
  <c r="F647" i="3" l="1"/>
  <c r="I647" i="3"/>
  <c r="J647" i="3"/>
  <c r="M647" i="3"/>
  <c r="N647" i="3" s="1"/>
  <c r="V647" i="3"/>
  <c r="A648" i="3"/>
  <c r="B648" i="3" s="1"/>
  <c r="W647" i="3" l="1"/>
  <c r="AD648" i="3"/>
  <c r="AA648" i="3"/>
  <c r="P648" i="3"/>
  <c r="Q648" i="3" s="1"/>
  <c r="R648" i="3" s="1"/>
  <c r="S648" i="3" s="1"/>
  <c r="Z648" i="3"/>
  <c r="AC648" i="3"/>
  <c r="L647" i="3"/>
  <c r="T648" i="3" l="1"/>
  <c r="AH648" i="3" s="1"/>
  <c r="U647" i="3"/>
  <c r="Y646" i="3"/>
  <c r="D648" i="3" l="1"/>
  <c r="G648" i="3" s="1"/>
  <c r="AG648" i="3"/>
  <c r="E648" i="3"/>
  <c r="H648" i="3" s="1"/>
  <c r="K648" i="3" s="1"/>
  <c r="AE648" i="3" s="1"/>
  <c r="F648" i="3" l="1"/>
  <c r="I648" i="3"/>
  <c r="J648" i="3"/>
  <c r="M648" i="3"/>
  <c r="N648" i="3" s="1"/>
  <c r="V648" i="3"/>
  <c r="A649" i="3"/>
  <c r="B649" i="3" s="1"/>
  <c r="W648" i="3" l="1"/>
  <c r="AC649" i="3"/>
  <c r="Z649" i="3"/>
  <c r="P649" i="3"/>
  <c r="Q649" i="3" s="1"/>
  <c r="R649" i="3" s="1"/>
  <c r="S649" i="3" s="1"/>
  <c r="AA649" i="3"/>
  <c r="AD649" i="3"/>
  <c r="L648" i="3"/>
  <c r="T649" i="3" l="1"/>
  <c r="AH649" i="3" s="1"/>
  <c r="U648" i="3"/>
  <c r="Y647" i="3"/>
  <c r="E649" i="3" l="1"/>
  <c r="H649" i="3" s="1"/>
  <c r="K649" i="3" s="1"/>
  <c r="AE649" i="3" s="1"/>
  <c r="AG649" i="3"/>
  <c r="D649" i="3"/>
  <c r="V649" i="3" l="1"/>
  <c r="A650" i="3"/>
  <c r="B650" i="3" s="1"/>
  <c r="F649" i="3"/>
  <c r="G649" i="3"/>
  <c r="AA650" i="3" l="1"/>
  <c r="Z650" i="3"/>
  <c r="P650" i="3"/>
  <c r="Q650" i="3" s="1"/>
  <c r="R650" i="3" s="1"/>
  <c r="S650" i="3" s="1"/>
  <c r="AD650" i="3"/>
  <c r="AC650" i="3"/>
  <c r="I649" i="3"/>
  <c r="W649" i="3" s="1"/>
  <c r="J649" i="3"/>
  <c r="M649" i="3"/>
  <c r="N649" i="3" s="1"/>
  <c r="T650" i="3" l="1"/>
  <c r="L649" i="3"/>
  <c r="AG650" i="3" l="1"/>
  <c r="U649" i="3"/>
  <c r="D650" i="3" s="1"/>
  <c r="AH650" i="3"/>
  <c r="Y648" i="3"/>
  <c r="G650" i="3" l="1"/>
  <c r="E650" i="3"/>
  <c r="H650" i="3" s="1"/>
  <c r="K650" i="3" l="1"/>
  <c r="AE650" i="3" s="1"/>
  <c r="I650" i="3"/>
  <c r="J650" i="3"/>
  <c r="M650" i="3"/>
  <c r="N650" i="3" s="1"/>
  <c r="F650" i="3"/>
  <c r="L650" i="3" l="1"/>
  <c r="V650" i="3"/>
  <c r="W650" i="3" s="1"/>
  <c r="A651" i="3"/>
  <c r="B651" i="3" s="1"/>
  <c r="Z651" i="3" l="1"/>
  <c r="AC651" i="3"/>
  <c r="P651" i="3"/>
  <c r="Q651" i="3" s="1"/>
  <c r="R651" i="3" s="1"/>
  <c r="S651" i="3" s="1"/>
  <c r="AA651" i="3"/>
  <c r="AD651" i="3"/>
  <c r="U650" i="3"/>
  <c r="Y649" i="3"/>
  <c r="T651" i="3" l="1"/>
  <c r="AH651" i="3" s="1"/>
  <c r="E651" i="3" l="1"/>
  <c r="H651" i="3" s="1"/>
  <c r="K651" i="3" s="1"/>
  <c r="AE651" i="3" s="1"/>
  <c r="D651" i="3"/>
  <c r="AG651" i="3"/>
  <c r="F651" i="3" l="1"/>
  <c r="G651" i="3"/>
  <c r="V651" i="3"/>
  <c r="A652" i="3"/>
  <c r="B652" i="3" s="1"/>
  <c r="AC652" i="3" l="1"/>
  <c r="AA652" i="3"/>
  <c r="Z652" i="3"/>
  <c r="AD652" i="3"/>
  <c r="P652" i="3"/>
  <c r="Q652" i="3" s="1"/>
  <c r="R652" i="3" s="1"/>
  <c r="S652" i="3" s="1"/>
  <c r="I651" i="3"/>
  <c r="W651" i="3" s="1"/>
  <c r="J651" i="3"/>
  <c r="M651" i="3"/>
  <c r="N651" i="3" s="1"/>
  <c r="L651" i="3" l="1"/>
  <c r="T652" i="3"/>
  <c r="AH652" i="3" l="1"/>
  <c r="U651" i="3"/>
  <c r="E652" i="3" s="1"/>
  <c r="H652" i="3" s="1"/>
  <c r="AG652" i="3"/>
  <c r="Y650" i="3"/>
  <c r="D652" i="3" l="1"/>
  <c r="F652" i="3" s="1"/>
  <c r="K652" i="3"/>
  <c r="AE652" i="3" s="1"/>
  <c r="G652" i="3" l="1"/>
  <c r="I652" i="3" s="1"/>
  <c r="V652" i="3"/>
  <c r="A653" i="3"/>
  <c r="B653" i="3" s="1"/>
  <c r="M652" i="3" l="1"/>
  <c r="N652" i="3" s="1"/>
  <c r="J652" i="3"/>
  <c r="L652" i="3" s="1"/>
  <c r="W652" i="3"/>
  <c r="AC653" i="3"/>
  <c r="Z653" i="3"/>
  <c r="AA653" i="3"/>
  <c r="P653" i="3"/>
  <c r="Q653" i="3" s="1"/>
  <c r="R653" i="3" s="1"/>
  <c r="S653" i="3" s="1"/>
  <c r="AD653" i="3"/>
  <c r="T653" i="3" l="1"/>
  <c r="AG653" i="3" s="1"/>
  <c r="U652" i="3"/>
  <c r="Y651" i="3"/>
  <c r="D653" i="3" l="1"/>
  <c r="G653" i="3" s="1"/>
  <c r="AH653" i="3"/>
  <c r="E653" i="3"/>
  <c r="H653" i="3" s="1"/>
  <c r="K653" i="3" s="1"/>
  <c r="AE653" i="3" s="1"/>
  <c r="F653" i="3" l="1"/>
  <c r="V653" i="3"/>
  <c r="A654" i="3"/>
  <c r="B654" i="3" s="1"/>
  <c r="I653" i="3"/>
  <c r="J653" i="3"/>
  <c r="M653" i="3"/>
  <c r="N653" i="3" s="1"/>
  <c r="L653" i="3" l="1"/>
  <c r="P654" i="3"/>
  <c r="Q654" i="3" s="1"/>
  <c r="R654" i="3" s="1"/>
  <c r="S654" i="3" s="1"/>
  <c r="AA654" i="3"/>
  <c r="Z654" i="3"/>
  <c r="AC654" i="3"/>
  <c r="W653" i="3"/>
  <c r="T654" i="3" l="1"/>
  <c r="AG654" i="3" s="1"/>
  <c r="U653" i="3"/>
  <c r="Y652" i="3"/>
  <c r="E654" i="3" l="1"/>
  <c r="H654" i="3" s="1"/>
  <c r="K654" i="3" s="1"/>
  <c r="AE654" i="3" s="1"/>
  <c r="D654" i="3"/>
  <c r="AH654" i="3"/>
  <c r="F654" i="3" l="1"/>
  <c r="G654" i="3"/>
  <c r="I654" i="3" s="1"/>
  <c r="V654" i="3"/>
  <c r="A655" i="3"/>
  <c r="B655" i="3" s="1"/>
  <c r="M654" i="3" l="1"/>
  <c r="N654" i="3" s="1"/>
  <c r="J654" i="3"/>
  <c r="AD654" i="3" s="1"/>
  <c r="W654" i="3"/>
  <c r="AA655" i="3"/>
  <c r="P655" i="3"/>
  <c r="Q655" i="3" s="1"/>
  <c r="R655" i="3" s="1"/>
  <c r="S655" i="3" s="1"/>
  <c r="AC655" i="3"/>
  <c r="AD655" i="3"/>
  <c r="Z655" i="3"/>
  <c r="L654" i="3" l="1"/>
  <c r="U654" i="3" s="1"/>
  <c r="T655" i="3"/>
  <c r="Y653" i="3" l="1"/>
  <c r="AH655" i="3"/>
  <c r="D655" i="3"/>
  <c r="G655" i="3" s="1"/>
  <c r="AG655" i="3"/>
  <c r="E655" i="3"/>
  <c r="H655" i="3" s="1"/>
  <c r="K655" i="3" l="1"/>
  <c r="AE655" i="3" s="1"/>
  <c r="I655" i="3"/>
  <c r="J655" i="3"/>
  <c r="M655" i="3"/>
  <c r="N655" i="3" s="1"/>
  <c r="F655" i="3"/>
  <c r="L655" i="3" l="1"/>
  <c r="V655" i="3"/>
  <c r="W655" i="3" s="1"/>
  <c r="A656" i="3"/>
  <c r="B656" i="3" s="1"/>
  <c r="P656" i="3" l="1"/>
  <c r="Q656" i="3" s="1"/>
  <c r="R656" i="3" s="1"/>
  <c r="S656" i="3" s="1"/>
  <c r="AA656" i="3"/>
  <c r="Z656" i="3"/>
  <c r="AD656" i="3"/>
  <c r="AC656" i="3"/>
  <c r="U655" i="3"/>
  <c r="Y654" i="3"/>
  <c r="T656" i="3" l="1"/>
  <c r="AH656" i="3" l="1"/>
  <c r="AG656" i="3"/>
  <c r="E656" i="3"/>
  <c r="H656" i="3" s="1"/>
  <c r="D656" i="3"/>
  <c r="K656" i="3" l="1"/>
  <c r="AE656" i="3" s="1"/>
  <c r="F656" i="3"/>
  <c r="G656" i="3"/>
  <c r="I656" i="3" l="1"/>
  <c r="J656" i="3"/>
  <c r="M656" i="3"/>
  <c r="N656" i="3" s="1"/>
  <c r="V656" i="3"/>
  <c r="A657" i="3"/>
  <c r="B657" i="3" s="1"/>
  <c r="W656" i="3" l="1"/>
  <c r="L656" i="3"/>
  <c r="P657" i="3"/>
  <c r="Q657" i="3" s="1"/>
  <c r="R657" i="3" s="1"/>
  <c r="S657" i="3" s="1"/>
  <c r="AC657" i="3"/>
  <c r="AA657" i="3"/>
  <c r="Z657" i="3"/>
  <c r="AD657" i="3"/>
  <c r="T657" i="3" l="1"/>
  <c r="AG657" i="3" s="1"/>
  <c r="U656" i="3"/>
  <c r="Y655" i="3"/>
  <c r="D657" i="3" l="1"/>
  <c r="G657" i="3" s="1"/>
  <c r="AH657" i="3"/>
  <c r="E657" i="3"/>
  <c r="H657" i="3" s="1"/>
  <c r="K657" i="3" s="1"/>
  <c r="AE657" i="3" s="1"/>
  <c r="F657" i="3" l="1"/>
  <c r="V657" i="3"/>
  <c r="A658" i="3"/>
  <c r="B658" i="3" s="1"/>
  <c r="I657" i="3"/>
  <c r="J657" i="3"/>
  <c r="M657" i="3"/>
  <c r="N657" i="3" s="1"/>
  <c r="L657" i="3" l="1"/>
  <c r="AD658" i="3"/>
  <c r="AA658" i="3"/>
  <c r="P658" i="3"/>
  <c r="Q658" i="3" s="1"/>
  <c r="R658" i="3" s="1"/>
  <c r="S658" i="3" s="1"/>
  <c r="AC658" i="3"/>
  <c r="Z658" i="3"/>
  <c r="W657" i="3"/>
  <c r="T658" i="3" l="1"/>
  <c r="AG658" i="3" s="1"/>
  <c r="U657" i="3"/>
  <c r="Y656" i="3"/>
  <c r="D658" i="3" l="1"/>
  <c r="G658" i="3" s="1"/>
  <c r="AH658" i="3"/>
  <c r="E658" i="3"/>
  <c r="H658" i="3" s="1"/>
  <c r="K658" i="3" l="1"/>
  <c r="AE658" i="3" s="1"/>
  <c r="I658" i="3"/>
  <c r="J658" i="3"/>
  <c r="M658" i="3"/>
  <c r="N658" i="3" s="1"/>
  <c r="F658" i="3"/>
  <c r="V658" i="3" l="1"/>
  <c r="W658" i="3" s="1"/>
  <c r="A659" i="3"/>
  <c r="B659" i="3" s="1"/>
  <c r="L658" i="3"/>
  <c r="P659" i="3" l="1"/>
  <c r="Q659" i="3" s="1"/>
  <c r="R659" i="3" s="1"/>
  <c r="S659" i="3" s="1"/>
  <c r="AC659" i="3"/>
  <c r="AA659" i="3"/>
  <c r="Z659" i="3"/>
  <c r="AD659" i="3"/>
  <c r="U658" i="3"/>
  <c r="Y657" i="3"/>
  <c r="T659" i="3" l="1"/>
  <c r="D659" i="3" l="1"/>
  <c r="E659" i="3"/>
  <c r="H659" i="3" s="1"/>
  <c r="AH659" i="3"/>
  <c r="AG659" i="3"/>
  <c r="K659" i="3" l="1"/>
  <c r="AE659" i="3" s="1"/>
  <c r="F659" i="3"/>
  <c r="G659" i="3"/>
  <c r="I659" i="3" l="1"/>
  <c r="J659" i="3"/>
  <c r="M659" i="3"/>
  <c r="N659" i="3" s="1"/>
  <c r="V659" i="3"/>
  <c r="A660" i="3"/>
  <c r="B660" i="3" s="1"/>
  <c r="W659" i="3" l="1"/>
  <c r="AA660" i="3"/>
  <c r="Z660" i="3"/>
  <c r="AD660" i="3"/>
  <c r="AC660" i="3"/>
  <c r="P660" i="3"/>
  <c r="Q660" i="3" s="1"/>
  <c r="R660" i="3" s="1"/>
  <c r="S660" i="3" s="1"/>
  <c r="L659" i="3"/>
  <c r="T660" i="3" l="1"/>
  <c r="AG660" i="3" s="1"/>
  <c r="U659" i="3"/>
  <c r="Y658" i="3"/>
  <c r="E660" i="3" l="1"/>
  <c r="H660" i="3" s="1"/>
  <c r="K660" i="3" s="1"/>
  <c r="AE660" i="3" s="1"/>
  <c r="D660" i="3"/>
  <c r="G660" i="3" s="1"/>
  <c r="AH660" i="3"/>
  <c r="F660" i="3" l="1"/>
  <c r="V660" i="3"/>
  <c r="A661" i="3"/>
  <c r="B661" i="3" s="1"/>
  <c r="I660" i="3"/>
  <c r="J660" i="3"/>
  <c r="M660" i="3"/>
  <c r="N660" i="3" s="1"/>
  <c r="L660" i="3" l="1"/>
  <c r="AC661" i="3"/>
  <c r="Z661" i="3"/>
  <c r="P661" i="3"/>
  <c r="Q661" i="3" s="1"/>
  <c r="R661" i="3" s="1"/>
  <c r="S661" i="3" s="1"/>
  <c r="AA661" i="3"/>
  <c r="AD661" i="3"/>
  <c r="W660" i="3"/>
  <c r="T661" i="3" l="1"/>
  <c r="AH661" i="3" s="1"/>
  <c r="U660" i="3"/>
  <c r="Y659" i="3"/>
  <c r="D661" i="3" l="1"/>
  <c r="G661" i="3" s="1"/>
  <c r="E661" i="3"/>
  <c r="H661" i="3" s="1"/>
  <c r="K661" i="3" s="1"/>
  <c r="AE661" i="3" s="1"/>
  <c r="AG661" i="3"/>
  <c r="F661" i="3" l="1"/>
  <c r="V661" i="3"/>
  <c r="A662" i="3"/>
  <c r="B662" i="3" s="1"/>
  <c r="I661" i="3"/>
  <c r="J661" i="3"/>
  <c r="M661" i="3"/>
  <c r="N661" i="3" s="1"/>
  <c r="Z662" i="3" l="1"/>
  <c r="P662" i="3"/>
  <c r="Q662" i="3" s="1"/>
  <c r="R662" i="3" s="1"/>
  <c r="S662" i="3" s="1"/>
  <c r="AA662" i="3"/>
  <c r="AD662" i="3"/>
  <c r="AC662" i="3"/>
  <c r="L661" i="3"/>
  <c r="W661" i="3"/>
  <c r="T662" i="3" l="1"/>
  <c r="AG662" i="3" s="1"/>
  <c r="U661" i="3"/>
  <c r="Y660" i="3"/>
  <c r="AH662" i="3" l="1"/>
  <c r="E662" i="3"/>
  <c r="H662" i="3" s="1"/>
  <c r="K662" i="3" s="1"/>
  <c r="AE662" i="3" s="1"/>
  <c r="D662" i="3"/>
  <c r="F662" i="3" l="1"/>
  <c r="G662" i="3"/>
  <c r="I662" i="3" s="1"/>
  <c r="V662" i="3"/>
  <c r="A663" i="3"/>
  <c r="B663" i="3" s="1"/>
  <c r="M662" i="3" l="1"/>
  <c r="N662" i="3" s="1"/>
  <c r="J662" i="3"/>
  <c r="L662" i="3" s="1"/>
  <c r="W662" i="3"/>
  <c r="AC663" i="3"/>
  <c r="P663" i="3"/>
  <c r="Q663" i="3" s="1"/>
  <c r="R663" i="3" s="1"/>
  <c r="S663" i="3" s="1"/>
  <c r="AD663" i="3"/>
  <c r="AA663" i="3"/>
  <c r="Z663" i="3"/>
  <c r="T663" i="3" l="1"/>
  <c r="AH663" i="3" s="1"/>
  <c r="U662" i="3"/>
  <c r="Y661" i="3"/>
  <c r="AG663" i="3" l="1"/>
  <c r="E663" i="3"/>
  <c r="H663" i="3" s="1"/>
  <c r="K663" i="3" s="1"/>
  <c r="AE663" i="3" s="1"/>
  <c r="D663" i="3"/>
  <c r="F663" i="3" l="1"/>
  <c r="G663" i="3"/>
  <c r="M663" i="3" s="1"/>
  <c r="N663" i="3" s="1"/>
  <c r="V663" i="3"/>
  <c r="A664" i="3"/>
  <c r="B664" i="3" s="1"/>
  <c r="J663" i="3" l="1"/>
  <c r="L663" i="3" s="1"/>
  <c r="I663" i="3"/>
  <c r="W663" i="3" s="1"/>
  <c r="AC664" i="3"/>
  <c r="Z664" i="3"/>
  <c r="AA664" i="3"/>
  <c r="P664" i="3"/>
  <c r="Q664" i="3" s="1"/>
  <c r="R664" i="3" s="1"/>
  <c r="S664" i="3" s="1"/>
  <c r="T664" i="3" l="1"/>
  <c r="AG664" i="3" s="1"/>
  <c r="U663" i="3"/>
  <c r="Y662" i="3"/>
  <c r="D664" i="3" l="1"/>
  <c r="G664" i="3" s="1"/>
  <c r="E664" i="3"/>
  <c r="H664" i="3" s="1"/>
  <c r="K664" i="3" s="1"/>
  <c r="AE664" i="3" s="1"/>
  <c r="AH664" i="3"/>
  <c r="F664" i="3" l="1"/>
  <c r="V664" i="3"/>
  <c r="A665" i="3"/>
  <c r="B665" i="3" s="1"/>
  <c r="I664" i="3"/>
  <c r="J664" i="3"/>
  <c r="AD664" i="3" s="1"/>
  <c r="M664" i="3"/>
  <c r="N664" i="3" s="1"/>
  <c r="W664" i="3" l="1"/>
  <c r="L664" i="3"/>
  <c r="AA665" i="3"/>
  <c r="P665" i="3"/>
  <c r="Q665" i="3" s="1"/>
  <c r="R665" i="3" s="1"/>
  <c r="S665" i="3" s="1"/>
  <c r="AC665" i="3"/>
  <c r="Z665" i="3"/>
  <c r="AD665" i="3"/>
  <c r="T665" i="3" l="1"/>
  <c r="AG665" i="3" s="1"/>
  <c r="U664" i="3"/>
  <c r="Y663" i="3"/>
  <c r="D665" i="3" l="1"/>
  <c r="G665" i="3" s="1"/>
  <c r="E665" i="3"/>
  <c r="H665" i="3" s="1"/>
  <c r="K665" i="3" s="1"/>
  <c r="AE665" i="3" s="1"/>
  <c r="AH665" i="3"/>
  <c r="F665" i="3" l="1"/>
  <c r="V665" i="3"/>
  <c r="A666" i="3"/>
  <c r="B666" i="3" s="1"/>
  <c r="I665" i="3"/>
  <c r="J665" i="3"/>
  <c r="M665" i="3"/>
  <c r="N665" i="3" s="1"/>
  <c r="W665" i="3" l="1"/>
  <c r="L665" i="3"/>
  <c r="AD666" i="3"/>
  <c r="AA666" i="3"/>
  <c r="P666" i="3"/>
  <c r="Q666" i="3" s="1"/>
  <c r="R666" i="3" s="1"/>
  <c r="S666" i="3" s="1"/>
  <c r="Z666" i="3"/>
  <c r="AC666" i="3"/>
  <c r="T666" i="3" l="1"/>
  <c r="AG666" i="3" s="1"/>
  <c r="U665" i="3"/>
  <c r="Y664" i="3"/>
  <c r="D666" i="3" l="1"/>
  <c r="G666" i="3" s="1"/>
  <c r="AH666" i="3"/>
  <c r="E666" i="3"/>
  <c r="H666" i="3" s="1"/>
  <c r="K666" i="3" s="1"/>
  <c r="AE666" i="3" s="1"/>
  <c r="F666" i="3" l="1"/>
  <c r="V666" i="3"/>
  <c r="A667" i="3"/>
  <c r="B667" i="3" s="1"/>
  <c r="I666" i="3"/>
  <c r="J666" i="3"/>
  <c r="M666" i="3"/>
  <c r="N666" i="3" s="1"/>
  <c r="Z667" i="3" l="1"/>
  <c r="P667" i="3"/>
  <c r="Q667" i="3" s="1"/>
  <c r="R667" i="3" s="1"/>
  <c r="S667" i="3" s="1"/>
  <c r="AA667" i="3"/>
  <c r="AD667" i="3"/>
  <c r="AC667" i="3"/>
  <c r="L666" i="3"/>
  <c r="W666" i="3"/>
  <c r="T667" i="3" l="1"/>
  <c r="AH667" i="3" s="1"/>
  <c r="U666" i="3"/>
  <c r="Y665" i="3"/>
  <c r="AG667" i="3" l="1"/>
  <c r="D667" i="3"/>
  <c r="G667" i="3" s="1"/>
  <c r="E667" i="3"/>
  <c r="H667" i="3" s="1"/>
  <c r="K667" i="3" s="1"/>
  <c r="AE667" i="3" s="1"/>
  <c r="F667" i="3" l="1"/>
  <c r="V667" i="3"/>
  <c r="A668" i="3"/>
  <c r="B668" i="3" s="1"/>
  <c r="I667" i="3"/>
  <c r="J667" i="3"/>
  <c r="M667" i="3"/>
  <c r="N667" i="3" s="1"/>
  <c r="AD668" i="3" l="1"/>
  <c r="AC668" i="3"/>
  <c r="AA668" i="3"/>
  <c r="Z668" i="3"/>
  <c r="P668" i="3"/>
  <c r="Q668" i="3" s="1"/>
  <c r="R668" i="3" s="1"/>
  <c r="S668" i="3" s="1"/>
  <c r="L667" i="3"/>
  <c r="W667" i="3"/>
  <c r="T668" i="3" l="1"/>
  <c r="AG668" i="3" s="1"/>
  <c r="U667" i="3"/>
  <c r="Y666" i="3"/>
  <c r="AH668" i="3" l="1"/>
  <c r="D668" i="3"/>
  <c r="G668" i="3" s="1"/>
  <c r="E668" i="3"/>
  <c r="H668" i="3" s="1"/>
  <c r="K668" i="3" s="1"/>
  <c r="AE668" i="3" s="1"/>
  <c r="F668" i="3" l="1"/>
  <c r="I668" i="3"/>
  <c r="J668" i="3"/>
  <c r="M668" i="3"/>
  <c r="N668" i="3" s="1"/>
  <c r="V668" i="3"/>
  <c r="W668" i="3" s="1"/>
  <c r="A669" i="3"/>
  <c r="B669" i="3" s="1"/>
  <c r="AC669" i="3" l="1"/>
  <c r="Z669" i="3"/>
  <c r="AA669" i="3"/>
  <c r="P669" i="3"/>
  <c r="Q669" i="3" s="1"/>
  <c r="R669" i="3" s="1"/>
  <c r="S669" i="3" s="1"/>
  <c r="AD669" i="3"/>
  <c r="L668" i="3"/>
  <c r="T669" i="3" l="1"/>
  <c r="AG669" i="3" s="1"/>
  <c r="U668" i="3"/>
  <c r="Y667" i="3"/>
  <c r="E669" i="3" l="1"/>
  <c r="H669" i="3" s="1"/>
  <c r="K669" i="3" s="1"/>
  <c r="AE669" i="3" s="1"/>
  <c r="D669" i="3"/>
  <c r="AH669" i="3"/>
  <c r="F669" i="3" l="1"/>
  <c r="G669" i="3"/>
  <c r="J669" i="3" s="1"/>
  <c r="V669" i="3"/>
  <c r="A670" i="3"/>
  <c r="B670" i="3" s="1"/>
  <c r="I669" i="3" l="1"/>
  <c r="W669" i="3" s="1"/>
  <c r="M669" i="3"/>
  <c r="N669" i="3" s="1"/>
  <c r="L669" i="3"/>
  <c r="AD670" i="3"/>
  <c r="P670" i="3"/>
  <c r="Q670" i="3" s="1"/>
  <c r="R670" i="3" s="1"/>
  <c r="S670" i="3" s="1"/>
  <c r="Z670" i="3"/>
  <c r="AC670" i="3"/>
  <c r="AA670" i="3"/>
  <c r="T670" i="3" l="1"/>
  <c r="AH670" i="3" s="1"/>
  <c r="U669" i="3"/>
  <c r="Y668" i="3"/>
  <c r="AG670" i="3" l="1"/>
  <c r="D670" i="3"/>
  <c r="G670" i="3" s="1"/>
  <c r="E670" i="3"/>
  <c r="H670" i="3" s="1"/>
  <c r="K670" i="3" s="1"/>
  <c r="AE670" i="3" s="1"/>
  <c r="F670" i="3" l="1"/>
  <c r="V670" i="3"/>
  <c r="A671" i="3"/>
  <c r="B671" i="3" s="1"/>
  <c r="I670" i="3"/>
  <c r="J670" i="3"/>
  <c r="M670" i="3"/>
  <c r="N670" i="3" s="1"/>
  <c r="W670" i="3" l="1"/>
  <c r="L670" i="3"/>
  <c r="AD671" i="3"/>
  <c r="AA671" i="3"/>
  <c r="P671" i="3"/>
  <c r="Q671" i="3" s="1"/>
  <c r="R671" i="3" s="1"/>
  <c r="S671" i="3" s="1"/>
  <c r="AC671" i="3"/>
  <c r="Z671" i="3"/>
  <c r="T671" i="3" l="1"/>
  <c r="AG671" i="3" s="1"/>
  <c r="U670" i="3"/>
  <c r="Y669" i="3"/>
  <c r="E671" i="3" l="1"/>
  <c r="H671" i="3" s="1"/>
  <c r="K671" i="3" s="1"/>
  <c r="AE671" i="3" s="1"/>
  <c r="AH671" i="3"/>
  <c r="D671" i="3"/>
  <c r="G671" i="3" s="1"/>
  <c r="F671" i="3" l="1"/>
  <c r="V671" i="3"/>
  <c r="A672" i="3"/>
  <c r="B672" i="3" s="1"/>
  <c r="I671" i="3"/>
  <c r="J671" i="3"/>
  <c r="M671" i="3"/>
  <c r="N671" i="3" s="1"/>
  <c r="W671" i="3" l="1"/>
  <c r="AD672" i="3"/>
  <c r="P672" i="3"/>
  <c r="Q672" i="3" s="1"/>
  <c r="R672" i="3" s="1"/>
  <c r="S672" i="3" s="1"/>
  <c r="Z672" i="3"/>
  <c r="AC672" i="3"/>
  <c r="AA672" i="3"/>
  <c r="L671" i="3"/>
  <c r="U671" i="3" l="1"/>
  <c r="Y670" i="3"/>
  <c r="T672" i="3"/>
  <c r="AH672" i="3" s="1"/>
  <c r="D672" i="3" l="1"/>
  <c r="E672" i="3"/>
  <c r="H672" i="3" s="1"/>
  <c r="AG672" i="3"/>
  <c r="K672" i="3" l="1"/>
  <c r="AE672" i="3" s="1"/>
  <c r="F672" i="3"/>
  <c r="G672" i="3"/>
  <c r="I672" i="3" l="1"/>
  <c r="J672" i="3"/>
  <c r="M672" i="3"/>
  <c r="N672" i="3" s="1"/>
  <c r="V672" i="3"/>
  <c r="A673" i="3"/>
  <c r="B673" i="3" s="1"/>
  <c r="W672" i="3" l="1"/>
  <c r="AC673" i="3"/>
  <c r="AA673" i="3"/>
  <c r="P673" i="3"/>
  <c r="Q673" i="3" s="1"/>
  <c r="R673" i="3" s="1"/>
  <c r="S673" i="3" s="1"/>
  <c r="AD673" i="3"/>
  <c r="Z673" i="3"/>
  <c r="L672" i="3"/>
  <c r="T673" i="3" l="1"/>
  <c r="AG673" i="3" s="1"/>
  <c r="U672" i="3"/>
  <c r="Y671" i="3"/>
  <c r="E673" i="3" l="1"/>
  <c r="H673" i="3" s="1"/>
  <c r="K673" i="3" s="1"/>
  <c r="AE673" i="3" s="1"/>
  <c r="AH673" i="3"/>
  <c r="D673" i="3"/>
  <c r="F673" i="3" l="1"/>
  <c r="G673" i="3"/>
  <c r="V673" i="3"/>
  <c r="A674" i="3"/>
  <c r="B674" i="3" s="1"/>
  <c r="Z674" i="3" l="1"/>
  <c r="AC674" i="3"/>
  <c r="P674" i="3"/>
  <c r="Q674" i="3" s="1"/>
  <c r="R674" i="3" s="1"/>
  <c r="S674" i="3" s="1"/>
  <c r="AA674" i="3"/>
  <c r="I673" i="3"/>
  <c r="W673" i="3" s="1"/>
  <c r="J673" i="3"/>
  <c r="M673" i="3"/>
  <c r="N673" i="3" s="1"/>
  <c r="T674" i="3" l="1"/>
  <c r="L673" i="3"/>
  <c r="AH674" i="3" l="1"/>
  <c r="U673" i="3"/>
  <c r="D674" i="3" s="1"/>
  <c r="AG674" i="3"/>
  <c r="Y672" i="3"/>
  <c r="E674" i="3" l="1"/>
  <c r="H674" i="3" s="1"/>
  <c r="K674" i="3" s="1"/>
  <c r="AE674" i="3" s="1"/>
  <c r="G674" i="3"/>
  <c r="F674" i="3" l="1"/>
  <c r="V674" i="3"/>
  <c r="A675" i="3"/>
  <c r="B675" i="3" s="1"/>
  <c r="I674" i="3"/>
  <c r="J674" i="3"/>
  <c r="AD674" i="3" s="1"/>
  <c r="M674" i="3"/>
  <c r="N674" i="3" s="1"/>
  <c r="W674" i="3" l="1"/>
  <c r="L674" i="3"/>
  <c r="AD675" i="3"/>
  <c r="P675" i="3"/>
  <c r="Q675" i="3" s="1"/>
  <c r="R675" i="3" s="1"/>
  <c r="S675" i="3" s="1"/>
  <c r="Z675" i="3"/>
  <c r="AA675" i="3"/>
  <c r="AC675" i="3"/>
  <c r="T675" i="3" l="1"/>
  <c r="AH675" i="3" s="1"/>
  <c r="U674" i="3"/>
  <c r="Y673" i="3"/>
  <c r="D675" i="3" l="1"/>
  <c r="G675" i="3" s="1"/>
  <c r="AG675" i="3"/>
  <c r="E675" i="3"/>
  <c r="H675" i="3" s="1"/>
  <c r="K675" i="3" s="1"/>
  <c r="AE675" i="3" s="1"/>
  <c r="F675" i="3" l="1"/>
  <c r="V675" i="3"/>
  <c r="A676" i="3"/>
  <c r="B676" i="3" s="1"/>
  <c r="I675" i="3"/>
  <c r="J675" i="3"/>
  <c r="M675" i="3"/>
  <c r="N675" i="3" s="1"/>
  <c r="AC676" i="3" l="1"/>
  <c r="AD676" i="3"/>
  <c r="P676" i="3"/>
  <c r="Q676" i="3" s="1"/>
  <c r="R676" i="3" s="1"/>
  <c r="S676" i="3" s="1"/>
  <c r="Z676" i="3"/>
  <c r="AA676" i="3"/>
  <c r="L675" i="3"/>
  <c r="W675" i="3"/>
  <c r="T676" i="3" l="1"/>
  <c r="AH676" i="3" s="1"/>
  <c r="U675" i="3"/>
  <c r="Y674" i="3"/>
  <c r="AG676" i="3" l="1"/>
  <c r="D676" i="3"/>
  <c r="G676" i="3" s="1"/>
  <c r="E676" i="3"/>
  <c r="H676" i="3" s="1"/>
  <c r="K676" i="3" l="1"/>
  <c r="AE676" i="3" s="1"/>
  <c r="I676" i="3"/>
  <c r="J676" i="3"/>
  <c r="M676" i="3"/>
  <c r="N676" i="3" s="1"/>
  <c r="F676" i="3"/>
  <c r="L676" i="3" l="1"/>
  <c r="V676" i="3"/>
  <c r="W676" i="3" s="1"/>
  <c r="A677" i="3"/>
  <c r="B677" i="3" s="1"/>
  <c r="P677" i="3" l="1"/>
  <c r="Q677" i="3" s="1"/>
  <c r="R677" i="3" s="1"/>
  <c r="S677" i="3" s="1"/>
  <c r="AC677" i="3"/>
  <c r="AA677" i="3"/>
  <c r="Z677" i="3"/>
  <c r="AD677" i="3"/>
  <c r="U676" i="3"/>
  <c r="Y675" i="3"/>
  <c r="T677" i="3" l="1"/>
  <c r="AG677" i="3" l="1"/>
  <c r="E677" i="3"/>
  <c r="H677" i="3" s="1"/>
  <c r="AH677" i="3"/>
  <c r="D677" i="3"/>
  <c r="F677" i="3" l="1"/>
  <c r="G677" i="3"/>
  <c r="K677" i="3"/>
  <c r="AE677" i="3" s="1"/>
  <c r="V677" i="3" l="1"/>
  <c r="A678" i="3"/>
  <c r="B678" i="3" s="1"/>
  <c r="I677" i="3"/>
  <c r="J677" i="3"/>
  <c r="M677" i="3"/>
  <c r="N677" i="3" s="1"/>
  <c r="L677" i="3" l="1"/>
  <c r="P678" i="3"/>
  <c r="Q678" i="3" s="1"/>
  <c r="R678" i="3" s="1"/>
  <c r="S678" i="3" s="1"/>
  <c r="AA678" i="3"/>
  <c r="AC678" i="3"/>
  <c r="Z678" i="3"/>
  <c r="AD678" i="3"/>
  <c r="W677" i="3"/>
  <c r="T678" i="3" l="1"/>
  <c r="AH678" i="3" s="1"/>
  <c r="U677" i="3"/>
  <c r="Y676" i="3"/>
  <c r="AG678" i="3" l="1"/>
  <c r="E678" i="3"/>
  <c r="H678" i="3" s="1"/>
  <c r="K678" i="3" s="1"/>
  <c r="AE678" i="3" s="1"/>
  <c r="D678" i="3"/>
  <c r="F678" i="3" l="1"/>
  <c r="G678" i="3"/>
  <c r="I678" i="3" s="1"/>
  <c r="V678" i="3"/>
  <c r="A679" i="3"/>
  <c r="B679" i="3" s="1"/>
  <c r="M678" i="3" l="1"/>
  <c r="N678" i="3" s="1"/>
  <c r="J678" i="3"/>
  <c r="L678" i="3" s="1"/>
  <c r="Z679" i="3"/>
  <c r="AD679" i="3"/>
  <c r="AC679" i="3"/>
  <c r="P679" i="3"/>
  <c r="Q679" i="3" s="1"/>
  <c r="R679" i="3" s="1"/>
  <c r="S679" i="3" s="1"/>
  <c r="AA679" i="3"/>
  <c r="W678" i="3"/>
  <c r="T679" i="3" l="1"/>
  <c r="AH679" i="3" s="1"/>
  <c r="U678" i="3"/>
  <c r="Y677" i="3"/>
  <c r="E679" i="3" l="1"/>
  <c r="H679" i="3" s="1"/>
  <c r="K679" i="3" s="1"/>
  <c r="AE679" i="3" s="1"/>
  <c r="D679" i="3"/>
  <c r="G679" i="3" s="1"/>
  <c r="AG679" i="3"/>
  <c r="F679" i="3" l="1"/>
  <c r="I679" i="3"/>
  <c r="J679" i="3"/>
  <c r="M679" i="3"/>
  <c r="N679" i="3" s="1"/>
  <c r="V679" i="3"/>
  <c r="A680" i="3"/>
  <c r="B680" i="3" s="1"/>
  <c r="W679" i="3" l="1"/>
  <c r="AA680" i="3"/>
  <c r="Z680" i="3"/>
  <c r="AD680" i="3"/>
  <c r="P680" i="3"/>
  <c r="Q680" i="3" s="1"/>
  <c r="R680" i="3" s="1"/>
  <c r="S680" i="3" s="1"/>
  <c r="AC680" i="3"/>
  <c r="L679" i="3"/>
  <c r="T680" i="3" l="1"/>
  <c r="AH680" i="3" s="1"/>
  <c r="U679" i="3"/>
  <c r="Y678" i="3"/>
  <c r="D680" i="3" l="1"/>
  <c r="G680" i="3" s="1"/>
  <c r="AG680" i="3"/>
  <c r="E680" i="3"/>
  <c r="H680" i="3" s="1"/>
  <c r="K680" i="3" s="1"/>
  <c r="AE680" i="3" s="1"/>
  <c r="F680" i="3" l="1"/>
  <c r="V680" i="3"/>
  <c r="A681" i="3"/>
  <c r="B681" i="3" s="1"/>
  <c r="I680" i="3"/>
  <c r="J680" i="3"/>
  <c r="M680" i="3"/>
  <c r="N680" i="3" s="1"/>
  <c r="L680" i="3" l="1"/>
  <c r="AA681" i="3"/>
  <c r="P681" i="3"/>
  <c r="Q681" i="3" s="1"/>
  <c r="R681" i="3" s="1"/>
  <c r="S681" i="3" s="1"/>
  <c r="AC681" i="3"/>
  <c r="Z681" i="3"/>
  <c r="AD681" i="3"/>
  <c r="W680" i="3"/>
  <c r="T681" i="3" l="1"/>
  <c r="AH681" i="3" s="1"/>
  <c r="U680" i="3"/>
  <c r="Y679" i="3"/>
  <c r="D681" i="3" l="1"/>
  <c r="G681" i="3" s="1"/>
  <c r="E681" i="3"/>
  <c r="H681" i="3" s="1"/>
  <c r="K681" i="3" s="1"/>
  <c r="AE681" i="3" s="1"/>
  <c r="AG681" i="3"/>
  <c r="F681" i="3" l="1"/>
  <c r="V681" i="3"/>
  <c r="A682" i="3"/>
  <c r="B682" i="3" s="1"/>
  <c r="I681" i="3"/>
  <c r="J681" i="3"/>
  <c r="M681" i="3"/>
  <c r="N681" i="3" s="1"/>
  <c r="L681" i="3" l="1"/>
  <c r="AC682" i="3"/>
  <c r="AA682" i="3"/>
  <c r="P682" i="3"/>
  <c r="Q682" i="3" s="1"/>
  <c r="R682" i="3" s="1"/>
  <c r="S682" i="3" s="1"/>
  <c r="Z682" i="3"/>
  <c r="AD682" i="3"/>
  <c r="W681" i="3"/>
  <c r="T682" i="3" l="1"/>
  <c r="AG682" i="3" s="1"/>
  <c r="U681" i="3"/>
  <c r="Y680" i="3"/>
  <c r="E682" i="3" l="1"/>
  <c r="H682" i="3" s="1"/>
  <c r="K682" i="3" s="1"/>
  <c r="AE682" i="3" s="1"/>
  <c r="AH682" i="3"/>
  <c r="D682" i="3"/>
  <c r="F682" i="3" l="1"/>
  <c r="G682" i="3"/>
  <c r="I682" i="3" s="1"/>
  <c r="V682" i="3"/>
  <c r="A683" i="3"/>
  <c r="B683" i="3" s="1"/>
  <c r="M682" i="3" l="1"/>
  <c r="N682" i="3" s="1"/>
  <c r="J682" i="3"/>
  <c r="L682" i="3" s="1"/>
  <c r="W682" i="3"/>
  <c r="AD683" i="3"/>
  <c r="AA683" i="3"/>
  <c r="Z683" i="3"/>
  <c r="P683" i="3"/>
  <c r="Q683" i="3" s="1"/>
  <c r="R683" i="3" s="1"/>
  <c r="S683" i="3" s="1"/>
  <c r="AC683" i="3"/>
  <c r="T683" i="3" l="1"/>
  <c r="AG683" i="3" s="1"/>
  <c r="U682" i="3"/>
  <c r="Y681" i="3"/>
  <c r="D683" i="3" l="1"/>
  <c r="G683" i="3" s="1"/>
  <c r="AH683" i="3"/>
  <c r="E683" i="3"/>
  <c r="H683" i="3" s="1"/>
  <c r="K683" i="3" s="1"/>
  <c r="AE683" i="3" s="1"/>
  <c r="F683" i="3" l="1"/>
  <c r="V683" i="3"/>
  <c r="A684" i="3"/>
  <c r="B684" i="3" s="1"/>
  <c r="I683" i="3"/>
  <c r="J683" i="3"/>
  <c r="M683" i="3"/>
  <c r="N683" i="3" s="1"/>
  <c r="W683" i="3" l="1"/>
  <c r="L683" i="3"/>
  <c r="Z684" i="3"/>
  <c r="AA684" i="3"/>
  <c r="AC684" i="3"/>
  <c r="P684" i="3"/>
  <c r="Q684" i="3" s="1"/>
  <c r="R684" i="3" s="1"/>
  <c r="S684" i="3" s="1"/>
  <c r="T684" i="3" l="1"/>
  <c r="AG684" i="3" s="1"/>
  <c r="U683" i="3"/>
  <c r="Y682" i="3"/>
  <c r="AH684" i="3" l="1"/>
  <c r="D684" i="3"/>
  <c r="G684" i="3" s="1"/>
  <c r="E684" i="3"/>
  <c r="H684" i="3" s="1"/>
  <c r="K684" i="3" s="1"/>
  <c r="AE684" i="3" s="1"/>
  <c r="F684" i="3" l="1"/>
  <c r="I684" i="3"/>
  <c r="J684" i="3"/>
  <c r="AD684" i="3" s="1"/>
  <c r="M684" i="3"/>
  <c r="N684" i="3" s="1"/>
  <c r="V684" i="3"/>
  <c r="A685" i="3"/>
  <c r="B685" i="3" s="1"/>
  <c r="W684" i="3" l="1"/>
  <c r="Z685" i="3"/>
  <c r="AC685" i="3"/>
  <c r="AD685" i="3"/>
  <c r="P685" i="3"/>
  <c r="Q685" i="3" s="1"/>
  <c r="R685" i="3" s="1"/>
  <c r="S685" i="3" s="1"/>
  <c r="AA685" i="3"/>
  <c r="L684" i="3"/>
  <c r="T685" i="3" l="1"/>
  <c r="AG685" i="3" s="1"/>
  <c r="U684" i="3"/>
  <c r="Y683" i="3"/>
  <c r="E685" i="3" l="1"/>
  <c r="H685" i="3" s="1"/>
  <c r="K685" i="3" s="1"/>
  <c r="AE685" i="3" s="1"/>
  <c r="D685" i="3"/>
  <c r="G685" i="3" s="1"/>
  <c r="AH685" i="3"/>
  <c r="F685" i="3" l="1"/>
  <c r="V685" i="3"/>
  <c r="A686" i="3"/>
  <c r="B686" i="3" s="1"/>
  <c r="I685" i="3"/>
  <c r="J685" i="3"/>
  <c r="M685" i="3"/>
  <c r="N685" i="3" s="1"/>
  <c r="L685" i="3" l="1"/>
  <c r="Z686" i="3"/>
  <c r="AA686" i="3"/>
  <c r="P686" i="3"/>
  <c r="Q686" i="3" s="1"/>
  <c r="R686" i="3" s="1"/>
  <c r="S686" i="3" s="1"/>
  <c r="AC686" i="3"/>
  <c r="AD686" i="3"/>
  <c r="W685" i="3"/>
  <c r="T686" i="3" l="1"/>
  <c r="AH686" i="3" s="1"/>
  <c r="U685" i="3"/>
  <c r="Y684" i="3"/>
  <c r="E686" i="3" l="1"/>
  <c r="H686" i="3" s="1"/>
  <c r="K686" i="3" s="1"/>
  <c r="AE686" i="3" s="1"/>
  <c r="AG686" i="3"/>
  <c r="D686" i="3"/>
  <c r="F686" i="3" l="1"/>
  <c r="G686" i="3"/>
  <c r="V686" i="3"/>
  <c r="A687" i="3"/>
  <c r="B687" i="3" s="1"/>
  <c r="AD687" i="3" l="1"/>
  <c r="AA687" i="3"/>
  <c r="AC687" i="3"/>
  <c r="P687" i="3"/>
  <c r="Q687" i="3" s="1"/>
  <c r="R687" i="3" s="1"/>
  <c r="S687" i="3" s="1"/>
  <c r="Z687" i="3"/>
  <c r="I686" i="3"/>
  <c r="W686" i="3" s="1"/>
  <c r="J686" i="3"/>
  <c r="M686" i="3"/>
  <c r="N686" i="3" s="1"/>
  <c r="T687" i="3" l="1"/>
  <c r="L686" i="3"/>
  <c r="AH687" i="3" l="1"/>
  <c r="U686" i="3"/>
  <c r="D687" i="3" s="1"/>
  <c r="AG687" i="3"/>
  <c r="Y685" i="3"/>
  <c r="E687" i="3" l="1"/>
  <c r="H687" i="3" s="1"/>
  <c r="K687" i="3" s="1"/>
  <c r="AE687" i="3" s="1"/>
  <c r="G687" i="3"/>
  <c r="F687" i="3" l="1"/>
  <c r="V687" i="3"/>
  <c r="A688" i="3"/>
  <c r="B688" i="3" s="1"/>
  <c r="I687" i="3"/>
  <c r="J687" i="3"/>
  <c r="M687" i="3"/>
  <c r="N687" i="3" s="1"/>
  <c r="L687" i="3" l="1"/>
  <c r="W687" i="3"/>
  <c r="Z688" i="3"/>
  <c r="P688" i="3"/>
  <c r="Q688" i="3" s="1"/>
  <c r="R688" i="3" s="1"/>
  <c r="S688" i="3" s="1"/>
  <c r="AC688" i="3"/>
  <c r="AA688" i="3"/>
  <c r="AD688" i="3"/>
  <c r="T688" i="3" l="1"/>
  <c r="AH688" i="3" s="1"/>
  <c r="U687" i="3"/>
  <c r="Y686" i="3"/>
  <c r="D688" i="3" l="1"/>
  <c r="G688" i="3" s="1"/>
  <c r="AG688" i="3"/>
  <c r="E688" i="3"/>
  <c r="H688" i="3" s="1"/>
  <c r="K688" i="3" l="1"/>
  <c r="AE688" i="3" s="1"/>
  <c r="I688" i="3"/>
  <c r="J688" i="3"/>
  <c r="M688" i="3"/>
  <c r="N688" i="3" s="1"/>
  <c r="F688" i="3"/>
  <c r="L688" i="3" l="1"/>
  <c r="V688" i="3"/>
  <c r="W688" i="3" s="1"/>
  <c r="A689" i="3"/>
  <c r="B689" i="3" s="1"/>
  <c r="Z689" i="3" l="1"/>
  <c r="P689" i="3"/>
  <c r="Q689" i="3" s="1"/>
  <c r="R689" i="3" s="1"/>
  <c r="S689" i="3" s="1"/>
  <c r="AC689" i="3"/>
  <c r="AA689" i="3"/>
  <c r="AD689" i="3"/>
  <c r="U688" i="3"/>
  <c r="Y687" i="3"/>
  <c r="T689" i="3" l="1"/>
  <c r="D689" i="3" s="1"/>
  <c r="AH689" i="3" l="1"/>
  <c r="E689" i="3"/>
  <c r="H689" i="3" s="1"/>
  <c r="K689" i="3" s="1"/>
  <c r="AE689" i="3" s="1"/>
  <c r="G689" i="3"/>
  <c r="AG689" i="3"/>
  <c r="F689" i="3" l="1"/>
  <c r="V689" i="3"/>
  <c r="A690" i="3"/>
  <c r="B690" i="3" s="1"/>
  <c r="I689" i="3"/>
  <c r="J689" i="3"/>
  <c r="M689" i="3"/>
  <c r="N689" i="3" s="1"/>
  <c r="L689" i="3" l="1"/>
  <c r="AA690" i="3"/>
  <c r="AC690" i="3"/>
  <c r="P690" i="3"/>
  <c r="Q690" i="3" s="1"/>
  <c r="R690" i="3" s="1"/>
  <c r="S690" i="3" s="1"/>
  <c r="AD690" i="3"/>
  <c r="Z690" i="3"/>
  <c r="W689" i="3"/>
  <c r="T690" i="3" l="1"/>
  <c r="AG690" i="3" s="1"/>
  <c r="U689" i="3"/>
  <c r="Y688" i="3"/>
  <c r="AH690" i="3" l="1"/>
  <c r="E690" i="3"/>
  <c r="H690" i="3" s="1"/>
  <c r="K690" i="3" s="1"/>
  <c r="AE690" i="3" s="1"/>
  <c r="D690" i="3"/>
  <c r="F690" i="3" l="1"/>
  <c r="G690" i="3"/>
  <c r="I690" i="3" s="1"/>
  <c r="V690" i="3"/>
  <c r="A691" i="3"/>
  <c r="B691" i="3" s="1"/>
  <c r="M690" i="3" l="1"/>
  <c r="N690" i="3" s="1"/>
  <c r="J690" i="3"/>
  <c r="L690" i="3" s="1"/>
  <c r="W690" i="3"/>
  <c r="Z691" i="3"/>
  <c r="P691" i="3"/>
  <c r="Q691" i="3" s="1"/>
  <c r="R691" i="3" s="1"/>
  <c r="S691" i="3" s="1"/>
  <c r="AC691" i="3"/>
  <c r="AA691" i="3"/>
  <c r="AD691" i="3"/>
  <c r="U690" i="3" l="1"/>
  <c r="Y689" i="3"/>
  <c r="T691" i="3"/>
  <c r="AH691" i="3" s="1"/>
  <c r="E691" i="3" l="1"/>
  <c r="H691" i="3" s="1"/>
  <c r="K691" i="3" s="1"/>
  <c r="AE691" i="3" s="1"/>
  <c r="D691" i="3"/>
  <c r="AG691" i="3"/>
  <c r="F691" i="3" l="1"/>
  <c r="G691" i="3"/>
  <c r="I691" i="3" s="1"/>
  <c r="V691" i="3"/>
  <c r="A692" i="3"/>
  <c r="B692" i="3" s="1"/>
  <c r="M691" i="3" l="1"/>
  <c r="N691" i="3" s="1"/>
  <c r="W691" i="3"/>
  <c r="J691" i="3"/>
  <c r="L691" i="3" s="1"/>
  <c r="Z692" i="3"/>
  <c r="AC692" i="3"/>
  <c r="AD692" i="3"/>
  <c r="AA692" i="3"/>
  <c r="P692" i="3"/>
  <c r="Q692" i="3" s="1"/>
  <c r="R692" i="3" s="1"/>
  <c r="S692" i="3" s="1"/>
  <c r="T692" i="3" l="1"/>
  <c r="AH692" i="3" s="1"/>
  <c r="U691" i="3"/>
  <c r="Y690" i="3"/>
  <c r="D692" i="3" l="1"/>
  <c r="G692" i="3" s="1"/>
  <c r="AG692" i="3"/>
  <c r="E692" i="3"/>
  <c r="H692" i="3" s="1"/>
  <c r="K692" i="3" s="1"/>
  <c r="AE692" i="3" s="1"/>
  <c r="F692" i="3" l="1"/>
  <c r="I692" i="3"/>
  <c r="J692" i="3"/>
  <c r="M692" i="3"/>
  <c r="N692" i="3" s="1"/>
  <c r="V692" i="3"/>
  <c r="A693" i="3"/>
  <c r="B693" i="3" s="1"/>
  <c r="W692" i="3" l="1"/>
  <c r="AC693" i="3"/>
  <c r="AA693" i="3"/>
  <c r="AD693" i="3"/>
  <c r="Z693" i="3"/>
  <c r="P693" i="3"/>
  <c r="Q693" i="3" s="1"/>
  <c r="R693" i="3" s="1"/>
  <c r="S693" i="3" s="1"/>
  <c r="L692" i="3"/>
  <c r="T693" i="3" l="1"/>
  <c r="AG693" i="3" s="1"/>
  <c r="U692" i="3"/>
  <c r="Y691" i="3"/>
  <c r="E693" i="3" l="1"/>
  <c r="H693" i="3" s="1"/>
  <c r="K693" i="3" s="1"/>
  <c r="AE693" i="3" s="1"/>
  <c r="AH693" i="3"/>
  <c r="D693" i="3"/>
  <c r="F693" i="3" l="1"/>
  <c r="G693" i="3"/>
  <c r="I693" i="3" s="1"/>
  <c r="V693" i="3"/>
  <c r="A694" i="3"/>
  <c r="B694" i="3" s="1"/>
  <c r="M693" i="3" l="1"/>
  <c r="N693" i="3" s="1"/>
  <c r="J693" i="3"/>
  <c r="L693" i="3" s="1"/>
  <c r="Z694" i="3"/>
  <c r="AA694" i="3"/>
  <c r="AC694" i="3"/>
  <c r="P694" i="3"/>
  <c r="Q694" i="3" s="1"/>
  <c r="R694" i="3" s="1"/>
  <c r="S694" i="3" s="1"/>
  <c r="W693" i="3"/>
  <c r="U693" i="3" l="1"/>
  <c r="Y692" i="3"/>
  <c r="T694" i="3"/>
  <c r="AG694" i="3" s="1"/>
  <c r="D694" i="3" l="1"/>
  <c r="E694" i="3"/>
  <c r="H694" i="3" s="1"/>
  <c r="AH694" i="3"/>
  <c r="K694" i="3" l="1"/>
  <c r="AE694" i="3" s="1"/>
  <c r="F694" i="3"/>
  <c r="G694" i="3"/>
  <c r="I694" i="3" l="1"/>
  <c r="J694" i="3"/>
  <c r="AD694" i="3" s="1"/>
  <c r="M694" i="3"/>
  <c r="N694" i="3" s="1"/>
  <c r="V694" i="3"/>
  <c r="A695" i="3"/>
  <c r="B695" i="3" s="1"/>
  <c r="W694" i="3" l="1"/>
  <c r="L694" i="3"/>
  <c r="AC695" i="3"/>
  <c r="AA695" i="3"/>
  <c r="AD695" i="3"/>
  <c r="Z695" i="3"/>
  <c r="P695" i="3"/>
  <c r="Q695" i="3" s="1"/>
  <c r="R695" i="3" s="1"/>
  <c r="S695" i="3" s="1"/>
  <c r="T695" i="3" l="1"/>
  <c r="AH695" i="3" s="1"/>
  <c r="U694" i="3"/>
  <c r="Y693" i="3"/>
  <c r="D695" i="3" l="1"/>
  <c r="G695" i="3" s="1"/>
  <c r="AG695" i="3"/>
  <c r="E695" i="3"/>
  <c r="H695" i="3" s="1"/>
  <c r="K695" i="3" s="1"/>
  <c r="AE695" i="3" s="1"/>
  <c r="F695" i="3" l="1"/>
  <c r="V695" i="3"/>
  <c r="A696" i="3"/>
  <c r="B696" i="3" s="1"/>
  <c r="I695" i="3"/>
  <c r="J695" i="3"/>
  <c r="M695" i="3"/>
  <c r="N695" i="3" s="1"/>
  <c r="L695" i="3" l="1"/>
  <c r="P696" i="3"/>
  <c r="Q696" i="3" s="1"/>
  <c r="R696" i="3" s="1"/>
  <c r="S696" i="3" s="1"/>
  <c r="AA696" i="3"/>
  <c r="AC696" i="3"/>
  <c r="AD696" i="3"/>
  <c r="Z696" i="3"/>
  <c r="W695" i="3"/>
  <c r="T696" i="3" l="1"/>
  <c r="AH696" i="3" s="1"/>
  <c r="U695" i="3"/>
  <c r="Y694" i="3"/>
  <c r="AG696" i="3" l="1"/>
  <c r="D696" i="3"/>
  <c r="G696" i="3" s="1"/>
  <c r="E696" i="3"/>
  <c r="H696" i="3" s="1"/>
  <c r="K696" i="3" s="1"/>
  <c r="AE696" i="3" s="1"/>
  <c r="F696" i="3" l="1"/>
  <c r="V696" i="3"/>
  <c r="A697" i="3"/>
  <c r="B697" i="3" s="1"/>
  <c r="I696" i="3"/>
  <c r="J696" i="3"/>
  <c r="M696" i="3"/>
  <c r="N696" i="3" s="1"/>
  <c r="AD697" i="3" l="1"/>
  <c r="AC697" i="3"/>
  <c r="P697" i="3"/>
  <c r="Q697" i="3" s="1"/>
  <c r="R697" i="3" s="1"/>
  <c r="S697" i="3" s="1"/>
  <c r="Z697" i="3"/>
  <c r="AA697" i="3"/>
  <c r="L696" i="3"/>
  <c r="W696" i="3"/>
  <c r="T697" i="3" l="1"/>
  <c r="AG697" i="3" s="1"/>
  <c r="U696" i="3"/>
  <c r="Y695" i="3"/>
  <c r="E697" i="3" l="1"/>
  <c r="H697" i="3" s="1"/>
  <c r="K697" i="3" s="1"/>
  <c r="AE697" i="3" s="1"/>
  <c r="AH697" i="3"/>
  <c r="D697" i="3"/>
  <c r="F697" i="3" l="1"/>
  <c r="G697" i="3"/>
  <c r="I697" i="3" s="1"/>
  <c r="V697" i="3"/>
  <c r="A698" i="3"/>
  <c r="B698" i="3" s="1"/>
  <c r="M697" i="3" l="1"/>
  <c r="N697" i="3" s="1"/>
  <c r="J697" i="3"/>
  <c r="L697" i="3" s="1"/>
  <c r="W697" i="3"/>
  <c r="Z698" i="3"/>
  <c r="P698" i="3"/>
  <c r="Q698" i="3" s="1"/>
  <c r="R698" i="3" s="1"/>
  <c r="S698" i="3" s="1"/>
  <c r="AD698" i="3"/>
  <c r="AC698" i="3"/>
  <c r="AA698" i="3"/>
  <c r="T698" i="3" l="1"/>
  <c r="AG698" i="3" s="1"/>
  <c r="U697" i="3"/>
  <c r="Y696" i="3"/>
  <c r="AH698" i="3" l="1"/>
  <c r="D698" i="3"/>
  <c r="G698" i="3" s="1"/>
  <c r="E698" i="3"/>
  <c r="H698" i="3" s="1"/>
  <c r="K698" i="3" s="1"/>
  <c r="AE698" i="3" s="1"/>
  <c r="F698" i="3" l="1"/>
  <c r="V698" i="3"/>
  <c r="A699" i="3"/>
  <c r="B699" i="3" s="1"/>
  <c r="I698" i="3"/>
  <c r="J698" i="3"/>
  <c r="M698" i="3"/>
  <c r="N698" i="3" s="1"/>
  <c r="Z699" i="3" l="1"/>
  <c r="P699" i="3"/>
  <c r="Q699" i="3" s="1"/>
  <c r="R699" i="3" s="1"/>
  <c r="S699" i="3" s="1"/>
  <c r="AD699" i="3"/>
  <c r="AA699" i="3"/>
  <c r="AC699" i="3"/>
  <c r="L698" i="3"/>
  <c r="W698" i="3"/>
  <c r="T699" i="3" l="1"/>
  <c r="AG699" i="3" s="1"/>
  <c r="U698" i="3"/>
  <c r="Y697" i="3"/>
  <c r="E699" i="3" l="1"/>
  <c r="H699" i="3" s="1"/>
  <c r="K699" i="3" s="1"/>
  <c r="AE699" i="3" s="1"/>
  <c r="AH699" i="3"/>
  <c r="D699" i="3"/>
  <c r="G699" i="3" s="1"/>
  <c r="F699" i="3" l="1"/>
  <c r="I699" i="3"/>
  <c r="J699" i="3"/>
  <c r="M699" i="3"/>
  <c r="N699" i="3" s="1"/>
  <c r="V699" i="3"/>
  <c r="A700" i="3"/>
  <c r="B700" i="3" s="1"/>
  <c r="W699" i="3" l="1"/>
  <c r="P700" i="3"/>
  <c r="Q700" i="3" s="1"/>
  <c r="R700" i="3" s="1"/>
  <c r="S700" i="3" s="1"/>
  <c r="AA700" i="3"/>
  <c r="AC700" i="3"/>
  <c r="AD700" i="3"/>
  <c r="Z700" i="3"/>
  <c r="L699" i="3"/>
  <c r="U699" i="3" l="1"/>
  <c r="Y698" i="3"/>
  <c r="T700" i="3"/>
  <c r="E700" i="3" l="1"/>
  <c r="H700" i="3" s="1"/>
  <c r="K700" i="3" s="1"/>
  <c r="AE700" i="3" s="1"/>
  <c r="AG700" i="3"/>
  <c r="AH700" i="3"/>
  <c r="D700" i="3"/>
  <c r="F700" i="3" l="1"/>
  <c r="G700" i="3"/>
  <c r="V700" i="3"/>
  <c r="A701" i="3"/>
  <c r="B701" i="3" s="1"/>
  <c r="I700" i="3" l="1"/>
  <c r="W700" i="3" s="1"/>
  <c r="J700" i="3"/>
  <c r="M700" i="3"/>
  <c r="N700" i="3" s="1"/>
  <c r="P701" i="3"/>
  <c r="Q701" i="3" s="1"/>
  <c r="R701" i="3" s="1"/>
  <c r="S701" i="3" s="1"/>
  <c r="AA701" i="3"/>
  <c r="AD701" i="3"/>
  <c r="AC701" i="3"/>
  <c r="Z701" i="3"/>
  <c r="L700" i="3" l="1"/>
  <c r="T701" i="3"/>
  <c r="U700" i="3" l="1"/>
  <c r="D701" i="3" s="1"/>
  <c r="AG701" i="3"/>
  <c r="AH701" i="3"/>
  <c r="Y699" i="3"/>
  <c r="E701" i="3" l="1"/>
  <c r="H701" i="3" s="1"/>
  <c r="K701" i="3" s="1"/>
  <c r="AE701" i="3" s="1"/>
  <c r="G701" i="3"/>
  <c r="F701" i="3" l="1"/>
  <c r="V701" i="3"/>
  <c r="A702" i="3"/>
  <c r="B702" i="3" s="1"/>
  <c r="I701" i="3"/>
  <c r="J701" i="3"/>
  <c r="M701" i="3"/>
  <c r="N701" i="3" s="1"/>
  <c r="L701" i="3" l="1"/>
  <c r="AC702" i="3"/>
  <c r="AD702" i="3"/>
  <c r="P702" i="3"/>
  <c r="Q702" i="3" s="1"/>
  <c r="R702" i="3" s="1"/>
  <c r="S702" i="3" s="1"/>
  <c r="Z702" i="3"/>
  <c r="AA702" i="3"/>
  <c r="W701" i="3"/>
  <c r="T702" i="3" l="1"/>
  <c r="U701" i="3"/>
  <c r="Y700" i="3"/>
  <c r="E702" i="3" l="1"/>
  <c r="H702" i="3" s="1"/>
  <c r="K702" i="3" s="1"/>
  <c r="AE702" i="3" s="1"/>
  <c r="D702" i="3"/>
  <c r="AH702" i="3"/>
  <c r="AG702" i="3"/>
  <c r="F702" i="3" l="1"/>
  <c r="G702" i="3"/>
  <c r="V702" i="3"/>
  <c r="A703" i="3"/>
  <c r="B703" i="3" s="1"/>
  <c r="AA703" i="3" l="1"/>
  <c r="Z703" i="3"/>
  <c r="P703" i="3"/>
  <c r="Q703" i="3" s="1"/>
  <c r="R703" i="3" s="1"/>
  <c r="S703" i="3" s="1"/>
  <c r="AD703" i="3"/>
  <c r="AC703" i="3"/>
  <c r="I702" i="3"/>
  <c r="W702" i="3" s="1"/>
  <c r="J702" i="3"/>
  <c r="M702" i="3"/>
  <c r="N702" i="3" s="1"/>
  <c r="T703" i="3" l="1"/>
  <c r="L702" i="3"/>
  <c r="AH703" i="3" l="1"/>
  <c r="U702" i="3"/>
  <c r="E703" i="3" s="1"/>
  <c r="H703" i="3" s="1"/>
  <c r="AG703" i="3"/>
  <c r="Y701" i="3"/>
  <c r="D703" i="3" l="1"/>
  <c r="F703" i="3" s="1"/>
  <c r="K703" i="3"/>
  <c r="AE703" i="3" s="1"/>
  <c r="G703" i="3" l="1"/>
  <c r="I703" i="3" s="1"/>
  <c r="V703" i="3"/>
  <c r="A704" i="3"/>
  <c r="B704" i="3" s="1"/>
  <c r="M703" i="3" l="1"/>
  <c r="N703" i="3" s="1"/>
  <c r="W703" i="3"/>
  <c r="J703" i="3"/>
  <c r="L703" i="3" s="1"/>
  <c r="Z704" i="3"/>
  <c r="AA704" i="3"/>
  <c r="P704" i="3"/>
  <c r="Q704" i="3" s="1"/>
  <c r="R704" i="3" s="1"/>
  <c r="S704" i="3" s="1"/>
  <c r="AC704" i="3"/>
  <c r="T704" i="3" l="1"/>
  <c r="AG704" i="3" s="1"/>
  <c r="U703" i="3"/>
  <c r="Y702" i="3"/>
  <c r="AH704" i="3" l="1"/>
  <c r="E704" i="3"/>
  <c r="H704" i="3" s="1"/>
  <c r="K704" i="3" s="1"/>
  <c r="AE704" i="3" s="1"/>
  <c r="D704" i="3"/>
  <c r="G704" i="3" s="1"/>
  <c r="F704" i="3" l="1"/>
  <c r="V704" i="3"/>
  <c r="A705" i="3"/>
  <c r="B705" i="3" s="1"/>
  <c r="I704" i="3"/>
  <c r="J704" i="3"/>
  <c r="AD704" i="3" s="1"/>
  <c r="M704" i="3"/>
  <c r="N704" i="3" s="1"/>
  <c r="AC705" i="3" l="1"/>
  <c r="P705" i="3"/>
  <c r="Q705" i="3" s="1"/>
  <c r="R705" i="3" s="1"/>
  <c r="S705" i="3" s="1"/>
  <c r="AA705" i="3"/>
  <c r="AD705" i="3"/>
  <c r="Z705" i="3"/>
  <c r="L704" i="3"/>
  <c r="W704" i="3"/>
  <c r="U704" i="3" l="1"/>
  <c r="Y703" i="3"/>
  <c r="T705" i="3"/>
  <c r="AH705" i="3" s="1"/>
  <c r="E705" i="3" l="1"/>
  <c r="H705" i="3" s="1"/>
  <c r="AG705" i="3"/>
  <c r="D705" i="3"/>
  <c r="F705" i="3" l="1"/>
  <c r="G705" i="3"/>
  <c r="K705" i="3"/>
  <c r="AE705" i="3" s="1"/>
  <c r="V705" i="3" l="1"/>
  <c r="A706" i="3"/>
  <c r="B706" i="3" s="1"/>
  <c r="I705" i="3"/>
  <c r="J705" i="3"/>
  <c r="M705" i="3"/>
  <c r="N705" i="3" s="1"/>
  <c r="Z706" i="3" l="1"/>
  <c r="AD706" i="3"/>
  <c r="P706" i="3"/>
  <c r="Q706" i="3" s="1"/>
  <c r="R706" i="3" s="1"/>
  <c r="S706" i="3" s="1"/>
  <c r="AA706" i="3"/>
  <c r="AC706" i="3"/>
  <c r="L705" i="3"/>
  <c r="W705" i="3"/>
  <c r="T706" i="3" l="1"/>
  <c r="U705" i="3"/>
  <c r="Y704" i="3"/>
  <c r="E706" i="3" l="1"/>
  <c r="H706" i="3" s="1"/>
  <c r="K706" i="3" s="1"/>
  <c r="AE706" i="3" s="1"/>
  <c r="AH706" i="3"/>
  <c r="D706" i="3"/>
  <c r="AG706" i="3"/>
  <c r="F706" i="3" l="1"/>
  <c r="G706" i="3"/>
  <c r="I706" i="3" s="1"/>
  <c r="V706" i="3"/>
  <c r="A707" i="3"/>
  <c r="B707" i="3" s="1"/>
  <c r="M706" i="3" l="1"/>
  <c r="N706" i="3" s="1"/>
  <c r="J706" i="3"/>
  <c r="L706" i="3" s="1"/>
  <c r="W706" i="3"/>
  <c r="AC707" i="3"/>
  <c r="P707" i="3"/>
  <c r="Q707" i="3" s="1"/>
  <c r="R707" i="3" s="1"/>
  <c r="S707" i="3" s="1"/>
  <c r="Z707" i="3"/>
  <c r="AA707" i="3"/>
  <c r="AD707" i="3"/>
  <c r="T707" i="3" l="1"/>
  <c r="AG707" i="3" s="1"/>
  <c r="U706" i="3"/>
  <c r="Y705" i="3"/>
  <c r="E707" i="3" l="1"/>
  <c r="H707" i="3" s="1"/>
  <c r="K707" i="3" s="1"/>
  <c r="AE707" i="3" s="1"/>
  <c r="D707" i="3"/>
  <c r="AH707" i="3"/>
  <c r="F707" i="3" l="1"/>
  <c r="G707" i="3"/>
  <c r="I707" i="3" s="1"/>
  <c r="V707" i="3"/>
  <c r="A708" i="3"/>
  <c r="B708" i="3" s="1"/>
  <c r="W707" i="3" l="1"/>
  <c r="M707" i="3"/>
  <c r="N707" i="3" s="1"/>
  <c r="J707" i="3"/>
  <c r="L707" i="3" s="1"/>
  <c r="AC708" i="3"/>
  <c r="P708" i="3"/>
  <c r="Q708" i="3" s="1"/>
  <c r="R708" i="3" s="1"/>
  <c r="S708" i="3" s="1"/>
  <c r="AD708" i="3"/>
  <c r="Z708" i="3"/>
  <c r="AA708" i="3"/>
  <c r="T708" i="3" l="1"/>
  <c r="AG708" i="3" s="1"/>
  <c r="U707" i="3"/>
  <c r="Y706" i="3"/>
  <c r="D708" i="3" l="1"/>
  <c r="G708" i="3" s="1"/>
  <c r="E708" i="3"/>
  <c r="H708" i="3" s="1"/>
  <c r="K708" i="3" s="1"/>
  <c r="AE708" i="3" s="1"/>
  <c r="AH708" i="3"/>
  <c r="F708" i="3" l="1"/>
  <c r="I708" i="3"/>
  <c r="J708" i="3"/>
  <c r="M708" i="3"/>
  <c r="N708" i="3" s="1"/>
  <c r="V708" i="3"/>
  <c r="A709" i="3"/>
  <c r="B709" i="3" s="1"/>
  <c r="W708" i="3" l="1"/>
  <c r="AC709" i="3"/>
  <c r="P709" i="3"/>
  <c r="Q709" i="3" s="1"/>
  <c r="R709" i="3" s="1"/>
  <c r="S709" i="3" s="1"/>
  <c r="AD709" i="3"/>
  <c r="AA709" i="3"/>
  <c r="Z709" i="3"/>
  <c r="L708" i="3"/>
  <c r="T709" i="3" l="1"/>
  <c r="AG709" i="3" s="1"/>
  <c r="U708" i="3"/>
  <c r="Y707" i="3"/>
  <c r="AH709" i="3" l="1"/>
  <c r="E709" i="3"/>
  <c r="H709" i="3" s="1"/>
  <c r="K709" i="3" s="1"/>
  <c r="AE709" i="3" s="1"/>
  <c r="D709" i="3"/>
  <c r="F709" i="3" l="1"/>
  <c r="G709" i="3"/>
  <c r="I709" i="3" s="1"/>
  <c r="V709" i="3"/>
  <c r="A710" i="3"/>
  <c r="B710" i="3" s="1"/>
  <c r="M709" i="3" l="1"/>
  <c r="N709" i="3" s="1"/>
  <c r="J709" i="3"/>
  <c r="L709" i="3" s="1"/>
  <c r="Z710" i="3"/>
  <c r="AC710" i="3"/>
  <c r="AD710" i="3"/>
  <c r="P710" i="3"/>
  <c r="Q710" i="3" s="1"/>
  <c r="R710" i="3" s="1"/>
  <c r="S710" i="3" s="1"/>
  <c r="AA710" i="3"/>
  <c r="W709" i="3"/>
  <c r="U709" i="3" l="1"/>
  <c r="Y708" i="3"/>
  <c r="T710" i="3"/>
  <c r="AH710" i="3" s="1"/>
  <c r="AG710" i="3" l="1"/>
  <c r="E710" i="3"/>
  <c r="H710" i="3" s="1"/>
  <c r="D710" i="3"/>
  <c r="F710" i="3" l="1"/>
  <c r="G710" i="3"/>
  <c r="K710" i="3"/>
  <c r="AE710" i="3" s="1"/>
  <c r="V710" i="3" l="1"/>
  <c r="A711" i="3"/>
  <c r="B711" i="3" s="1"/>
  <c r="I710" i="3"/>
  <c r="J710" i="3"/>
  <c r="M710" i="3"/>
  <c r="N710" i="3" s="1"/>
  <c r="L710" i="3" l="1"/>
  <c r="AA711" i="3"/>
  <c r="AC711" i="3"/>
  <c r="Z711" i="3"/>
  <c r="P711" i="3"/>
  <c r="Q711" i="3" s="1"/>
  <c r="R711" i="3" s="1"/>
  <c r="S711" i="3" s="1"/>
  <c r="AD711" i="3"/>
  <c r="W710" i="3"/>
  <c r="T711" i="3" l="1"/>
  <c r="AH711" i="3" s="1"/>
  <c r="U710" i="3"/>
  <c r="Y709" i="3"/>
  <c r="E711" i="3" l="1"/>
  <c r="H711" i="3" s="1"/>
  <c r="K711" i="3" s="1"/>
  <c r="AE711" i="3" s="1"/>
  <c r="AG711" i="3"/>
  <c r="D711" i="3"/>
  <c r="V711" i="3" l="1"/>
  <c r="A712" i="3"/>
  <c r="B712" i="3" s="1"/>
  <c r="F711" i="3"/>
  <c r="G711" i="3"/>
  <c r="I711" i="3" l="1"/>
  <c r="W711" i="3" s="1"/>
  <c r="J711" i="3"/>
  <c r="M711" i="3"/>
  <c r="N711" i="3" s="1"/>
  <c r="AA712" i="3"/>
  <c r="Z712" i="3"/>
  <c r="P712" i="3"/>
  <c r="Q712" i="3" s="1"/>
  <c r="R712" i="3" s="1"/>
  <c r="S712" i="3" s="1"/>
  <c r="AD712" i="3"/>
  <c r="AC712" i="3"/>
  <c r="T712" i="3" l="1"/>
  <c r="L711" i="3"/>
  <c r="AH712" i="3" l="1"/>
  <c r="U711" i="3"/>
  <c r="D712" i="3" s="1"/>
  <c r="AG712" i="3"/>
  <c r="Y710" i="3"/>
  <c r="E712" i="3" l="1"/>
  <c r="H712" i="3" s="1"/>
  <c r="K712" i="3" s="1"/>
  <c r="AE712" i="3" s="1"/>
  <c r="G712" i="3"/>
  <c r="F712" i="3" l="1"/>
  <c r="V712" i="3"/>
  <c r="A713" i="3"/>
  <c r="B713" i="3" s="1"/>
  <c r="I712" i="3"/>
  <c r="J712" i="3"/>
  <c r="M712" i="3"/>
  <c r="N712" i="3" s="1"/>
  <c r="L712" i="3" l="1"/>
  <c r="Z713" i="3"/>
  <c r="P713" i="3"/>
  <c r="Q713" i="3" s="1"/>
  <c r="R713" i="3" s="1"/>
  <c r="S713" i="3" s="1"/>
  <c r="AD713" i="3"/>
  <c r="AC713" i="3"/>
  <c r="AA713" i="3"/>
  <c r="W712" i="3"/>
  <c r="U712" i="3" l="1"/>
  <c r="Y711" i="3"/>
  <c r="T713" i="3"/>
  <c r="E713" i="3" l="1"/>
  <c r="H713" i="3" s="1"/>
  <c r="K713" i="3" s="1"/>
  <c r="AE713" i="3" s="1"/>
  <c r="AH713" i="3"/>
  <c r="D713" i="3"/>
  <c r="AG713" i="3"/>
  <c r="F713" i="3" l="1"/>
  <c r="G713" i="3"/>
  <c r="I713" i="3" s="1"/>
  <c r="V713" i="3"/>
  <c r="A714" i="3"/>
  <c r="B714" i="3" s="1"/>
  <c r="M713" i="3" l="1"/>
  <c r="N713" i="3" s="1"/>
  <c r="J713" i="3"/>
  <c r="L713" i="3" s="1"/>
  <c r="Z714" i="3"/>
  <c r="AC714" i="3"/>
  <c r="P714" i="3"/>
  <c r="Q714" i="3" s="1"/>
  <c r="R714" i="3" s="1"/>
  <c r="S714" i="3" s="1"/>
  <c r="AA714" i="3"/>
  <c r="W713" i="3"/>
  <c r="T714" i="3" l="1"/>
  <c r="AG714" i="3" s="1"/>
  <c r="U713" i="3"/>
  <c r="Y712" i="3"/>
  <c r="AH714" i="3" l="1"/>
  <c r="D714" i="3"/>
  <c r="G714" i="3" s="1"/>
  <c r="E714" i="3"/>
  <c r="H714" i="3" s="1"/>
  <c r="K714" i="3" s="1"/>
  <c r="AE714" i="3" s="1"/>
  <c r="F714" i="3" l="1"/>
  <c r="V714" i="3"/>
  <c r="A715" i="3"/>
  <c r="B715" i="3" s="1"/>
  <c r="I714" i="3"/>
  <c r="J714" i="3"/>
  <c r="AD714" i="3" s="1"/>
  <c r="M714" i="3"/>
  <c r="N714" i="3" s="1"/>
  <c r="L714" i="3" l="1"/>
  <c r="AC715" i="3"/>
  <c r="P715" i="3"/>
  <c r="Q715" i="3" s="1"/>
  <c r="R715" i="3" s="1"/>
  <c r="S715" i="3" s="1"/>
  <c r="AA715" i="3"/>
  <c r="Z715" i="3"/>
  <c r="AD715" i="3"/>
  <c r="W714" i="3"/>
  <c r="U714" i="3" l="1"/>
  <c r="Y713" i="3"/>
  <c r="T715" i="3"/>
  <c r="AH715" i="3" s="1"/>
  <c r="E715" i="3" l="1"/>
  <c r="H715" i="3" s="1"/>
  <c r="AG715" i="3"/>
  <c r="D715" i="3"/>
  <c r="F715" i="3" l="1"/>
  <c r="G715" i="3"/>
  <c r="K715" i="3"/>
  <c r="AE715" i="3" s="1"/>
  <c r="V715" i="3" l="1"/>
  <c r="A716" i="3"/>
  <c r="B716" i="3" s="1"/>
  <c r="I715" i="3"/>
  <c r="J715" i="3"/>
  <c r="M715" i="3"/>
  <c r="N715" i="3" s="1"/>
  <c r="L715" i="3" l="1"/>
  <c r="Z716" i="3"/>
  <c r="P716" i="3"/>
  <c r="Q716" i="3" s="1"/>
  <c r="R716" i="3" s="1"/>
  <c r="S716" i="3" s="1"/>
  <c r="AD716" i="3"/>
  <c r="AC716" i="3"/>
  <c r="AA716" i="3"/>
  <c r="W715" i="3"/>
  <c r="T716" i="3" l="1"/>
  <c r="AG716" i="3" s="1"/>
  <c r="U715" i="3"/>
  <c r="Y714" i="3"/>
  <c r="AH716" i="3" l="1"/>
  <c r="E716" i="3"/>
  <c r="H716" i="3" s="1"/>
  <c r="K716" i="3" s="1"/>
  <c r="AE716" i="3" s="1"/>
  <c r="D716" i="3"/>
  <c r="F716" i="3" l="1"/>
  <c r="G716" i="3"/>
  <c r="I716" i="3" s="1"/>
  <c r="V716" i="3"/>
  <c r="A717" i="3"/>
  <c r="B717" i="3" s="1"/>
  <c r="M716" i="3" l="1"/>
  <c r="N716" i="3" s="1"/>
  <c r="J716" i="3"/>
  <c r="L716" i="3" s="1"/>
  <c r="W716" i="3"/>
  <c r="AC717" i="3"/>
  <c r="P717" i="3"/>
  <c r="Q717" i="3" s="1"/>
  <c r="R717" i="3" s="1"/>
  <c r="S717" i="3" s="1"/>
  <c r="Z717" i="3"/>
  <c r="AD717" i="3"/>
  <c r="AA717" i="3"/>
  <c r="T717" i="3" l="1"/>
  <c r="AG717" i="3" s="1"/>
  <c r="U716" i="3"/>
  <c r="Y715" i="3"/>
  <c r="AH717" i="3" l="1"/>
  <c r="D717" i="3"/>
  <c r="G717" i="3" s="1"/>
  <c r="E717" i="3"/>
  <c r="H717" i="3" s="1"/>
  <c r="K717" i="3" s="1"/>
  <c r="AE717" i="3" s="1"/>
  <c r="F717" i="3" l="1"/>
  <c r="V717" i="3"/>
  <c r="A718" i="3"/>
  <c r="B718" i="3" s="1"/>
  <c r="I717" i="3"/>
  <c r="J717" i="3"/>
  <c r="M717" i="3"/>
  <c r="N717" i="3" s="1"/>
  <c r="L717" i="3" l="1"/>
  <c r="P718" i="3"/>
  <c r="Q718" i="3" s="1"/>
  <c r="R718" i="3" s="1"/>
  <c r="S718" i="3" s="1"/>
  <c r="AA718" i="3"/>
  <c r="AD718" i="3"/>
  <c r="AC718" i="3"/>
  <c r="Z718" i="3"/>
  <c r="W717" i="3"/>
  <c r="T718" i="3" l="1"/>
  <c r="AG718" i="3" s="1"/>
  <c r="U717" i="3"/>
  <c r="Y716" i="3"/>
  <c r="AH718" i="3" l="1"/>
  <c r="D718" i="3"/>
  <c r="G718" i="3" s="1"/>
  <c r="E718" i="3"/>
  <c r="H718" i="3" s="1"/>
  <c r="K718" i="3" s="1"/>
  <c r="AE718" i="3" s="1"/>
  <c r="F718" i="3" l="1"/>
  <c r="V718" i="3"/>
  <c r="A719" i="3"/>
  <c r="B719" i="3" s="1"/>
  <c r="I718" i="3"/>
  <c r="J718" i="3"/>
  <c r="M718" i="3"/>
  <c r="N718" i="3" s="1"/>
  <c r="L718" i="3" l="1"/>
  <c r="AA719" i="3"/>
  <c r="AC719" i="3"/>
  <c r="P719" i="3"/>
  <c r="Q719" i="3" s="1"/>
  <c r="R719" i="3" s="1"/>
  <c r="S719" i="3" s="1"/>
  <c r="Z719" i="3"/>
  <c r="AD719" i="3"/>
  <c r="W718" i="3"/>
  <c r="T719" i="3" l="1"/>
  <c r="AH719" i="3" s="1"/>
  <c r="U718" i="3"/>
  <c r="Y717" i="3"/>
  <c r="D719" i="3" l="1"/>
  <c r="G719" i="3" s="1"/>
  <c r="AG719" i="3"/>
  <c r="E719" i="3"/>
  <c r="H719" i="3" s="1"/>
  <c r="K719" i="3" s="1"/>
  <c r="AE719" i="3" s="1"/>
  <c r="F719" i="3" l="1"/>
  <c r="V719" i="3"/>
  <c r="A720" i="3"/>
  <c r="B720" i="3" s="1"/>
  <c r="I719" i="3"/>
  <c r="J719" i="3"/>
  <c r="M719" i="3"/>
  <c r="N719" i="3" s="1"/>
  <c r="L719" i="3" l="1"/>
  <c r="AD720" i="3"/>
  <c r="P720" i="3"/>
  <c r="Q720" i="3" s="1"/>
  <c r="R720" i="3" s="1"/>
  <c r="S720" i="3" s="1"/>
  <c r="AC720" i="3"/>
  <c r="AA720" i="3"/>
  <c r="Z720" i="3"/>
  <c r="W719" i="3"/>
  <c r="U719" i="3" l="1"/>
  <c r="Y718" i="3"/>
  <c r="T720" i="3"/>
  <c r="E720" i="3" l="1"/>
  <c r="H720" i="3" s="1"/>
  <c r="K720" i="3" s="1"/>
  <c r="AE720" i="3" s="1"/>
  <c r="D720" i="3"/>
  <c r="AG720" i="3"/>
  <c r="AH720" i="3"/>
  <c r="F720" i="3" l="1"/>
  <c r="G720" i="3"/>
  <c r="V720" i="3"/>
  <c r="A721" i="3"/>
  <c r="B721" i="3" s="1"/>
  <c r="AD721" i="3" l="1"/>
  <c r="AC721" i="3"/>
  <c r="P721" i="3"/>
  <c r="Q721" i="3" s="1"/>
  <c r="R721" i="3" s="1"/>
  <c r="S721" i="3" s="1"/>
  <c r="Z721" i="3"/>
  <c r="AA721" i="3"/>
  <c r="I720" i="3"/>
  <c r="W720" i="3" s="1"/>
  <c r="J720" i="3"/>
  <c r="M720" i="3"/>
  <c r="N720" i="3" s="1"/>
  <c r="L720" i="3" l="1"/>
  <c r="T721" i="3"/>
  <c r="AG721" i="3" l="1"/>
  <c r="U720" i="3"/>
  <c r="D721" i="3" s="1"/>
  <c r="AH721" i="3"/>
  <c r="Y719" i="3"/>
  <c r="E721" i="3" l="1"/>
  <c r="H721" i="3" s="1"/>
  <c r="K721" i="3" s="1"/>
  <c r="AE721" i="3" s="1"/>
  <c r="G721" i="3"/>
  <c r="F721" i="3" l="1"/>
  <c r="I721" i="3"/>
  <c r="J721" i="3"/>
  <c r="M721" i="3"/>
  <c r="N721" i="3" s="1"/>
  <c r="V721" i="3"/>
  <c r="A722" i="3"/>
  <c r="B722" i="3" s="1"/>
  <c r="W721" i="3" l="1"/>
  <c r="P722" i="3"/>
  <c r="Q722" i="3" s="1"/>
  <c r="R722" i="3" s="1"/>
  <c r="S722" i="3" s="1"/>
  <c r="AC722" i="3"/>
  <c r="Z722" i="3"/>
  <c r="AD722" i="3"/>
  <c r="AA722" i="3"/>
  <c r="L721" i="3"/>
  <c r="U721" i="3" l="1"/>
  <c r="Y720" i="3"/>
  <c r="T722" i="3"/>
  <c r="AG722" i="3" s="1"/>
  <c r="E722" i="3" l="1"/>
  <c r="H722" i="3" s="1"/>
  <c r="K722" i="3" s="1"/>
  <c r="AE722" i="3" s="1"/>
  <c r="AH722" i="3"/>
  <c r="D722" i="3"/>
  <c r="F722" i="3" l="1"/>
  <c r="G722" i="3"/>
  <c r="V722" i="3"/>
  <c r="A723" i="3"/>
  <c r="B723" i="3" s="1"/>
  <c r="AC723" i="3" l="1"/>
  <c r="P723" i="3"/>
  <c r="Q723" i="3" s="1"/>
  <c r="R723" i="3" s="1"/>
  <c r="S723" i="3" s="1"/>
  <c r="AA723" i="3"/>
  <c r="AD723" i="3"/>
  <c r="Z723" i="3"/>
  <c r="I722" i="3"/>
  <c r="W722" i="3" s="1"/>
  <c r="J722" i="3"/>
  <c r="M722" i="3"/>
  <c r="N722" i="3" s="1"/>
  <c r="L722" i="3" l="1"/>
  <c r="T723" i="3"/>
  <c r="U722" i="3" l="1"/>
  <c r="D723" i="3" s="1"/>
  <c r="AG723" i="3"/>
  <c r="AH723" i="3"/>
  <c r="Y721" i="3"/>
  <c r="E723" i="3" l="1"/>
  <c r="H723" i="3" s="1"/>
  <c r="K723" i="3" s="1"/>
  <c r="AE723" i="3" s="1"/>
  <c r="G723" i="3"/>
  <c r="F723" i="3" l="1"/>
  <c r="V723" i="3"/>
  <c r="A724" i="3"/>
  <c r="B724" i="3" s="1"/>
  <c r="I723" i="3"/>
  <c r="J723" i="3"/>
  <c r="M723" i="3"/>
  <c r="N723" i="3" s="1"/>
  <c r="L723" i="3" l="1"/>
  <c r="AA724" i="3"/>
  <c r="P724" i="3"/>
  <c r="Q724" i="3" s="1"/>
  <c r="R724" i="3" s="1"/>
  <c r="S724" i="3" s="1"/>
  <c r="Z724" i="3"/>
  <c r="AC724" i="3"/>
  <c r="W723" i="3"/>
  <c r="T724" i="3" l="1"/>
  <c r="AH724" i="3" s="1"/>
  <c r="U723" i="3"/>
  <c r="Y722" i="3"/>
  <c r="D724" i="3" l="1"/>
  <c r="G724" i="3" s="1"/>
  <c r="AG724" i="3"/>
  <c r="E724" i="3"/>
  <c r="H724" i="3" s="1"/>
  <c r="K724" i="3" s="1"/>
  <c r="AE724" i="3" s="1"/>
  <c r="F724" i="3" l="1"/>
  <c r="V724" i="3"/>
  <c r="A725" i="3"/>
  <c r="B725" i="3" s="1"/>
  <c r="I724" i="3"/>
  <c r="J724" i="3"/>
  <c r="AD724" i="3" s="1"/>
  <c r="M724" i="3"/>
  <c r="N724" i="3" s="1"/>
  <c r="AA725" i="3" l="1"/>
  <c r="AD725" i="3"/>
  <c r="AC725" i="3"/>
  <c r="P725" i="3"/>
  <c r="Q725" i="3" s="1"/>
  <c r="R725" i="3" s="1"/>
  <c r="S725" i="3" s="1"/>
  <c r="Z725" i="3"/>
  <c r="L724" i="3"/>
  <c r="W724" i="3"/>
  <c r="T725" i="3" l="1"/>
  <c r="AG725" i="3" s="1"/>
  <c r="U724" i="3"/>
  <c r="Y723" i="3"/>
  <c r="AH725" i="3" l="1"/>
  <c r="D725" i="3"/>
  <c r="G725" i="3" s="1"/>
  <c r="E725" i="3"/>
  <c r="H725" i="3" s="1"/>
  <c r="K725" i="3" s="1"/>
  <c r="AE725" i="3" s="1"/>
  <c r="F725" i="3" l="1"/>
  <c r="V725" i="3"/>
  <c r="A726" i="3"/>
  <c r="B726" i="3" s="1"/>
  <c r="I725" i="3"/>
  <c r="J725" i="3"/>
  <c r="M725" i="3"/>
  <c r="N725" i="3" s="1"/>
  <c r="L725" i="3" l="1"/>
  <c r="P726" i="3"/>
  <c r="Q726" i="3" s="1"/>
  <c r="R726" i="3" s="1"/>
  <c r="S726" i="3" s="1"/>
  <c r="AD726" i="3"/>
  <c r="AC726" i="3"/>
  <c r="AA726" i="3"/>
  <c r="Z726" i="3"/>
  <c r="W725" i="3"/>
  <c r="T726" i="3" l="1"/>
  <c r="AH726" i="3" s="1"/>
  <c r="U725" i="3"/>
  <c r="Y724" i="3"/>
  <c r="D726" i="3" l="1"/>
  <c r="G726" i="3" s="1"/>
  <c r="AG726" i="3"/>
  <c r="E726" i="3"/>
  <c r="H726" i="3" s="1"/>
  <c r="K726" i="3" s="1"/>
  <c r="AE726" i="3" s="1"/>
  <c r="F726" i="3" l="1"/>
  <c r="V726" i="3"/>
  <c r="A727" i="3"/>
  <c r="B727" i="3" s="1"/>
  <c r="I726" i="3"/>
  <c r="J726" i="3"/>
  <c r="M726" i="3"/>
  <c r="N726" i="3" s="1"/>
  <c r="L726" i="3" l="1"/>
  <c r="Z727" i="3"/>
  <c r="AA727" i="3"/>
  <c r="AC727" i="3"/>
  <c r="AD727" i="3"/>
  <c r="P727" i="3"/>
  <c r="Q727" i="3" s="1"/>
  <c r="R727" i="3" s="1"/>
  <c r="S727" i="3" s="1"/>
  <c r="W726" i="3"/>
  <c r="U726" i="3" l="1"/>
  <c r="Y725" i="3"/>
  <c r="T727" i="3"/>
  <c r="E727" i="3" l="1"/>
  <c r="H727" i="3" s="1"/>
  <c r="K727" i="3" s="1"/>
  <c r="AE727" i="3" s="1"/>
  <c r="AH727" i="3"/>
  <c r="AG727" i="3"/>
  <c r="D727" i="3"/>
  <c r="F727" i="3" l="1"/>
  <c r="G727" i="3"/>
  <c r="J727" i="3" s="1"/>
  <c r="V727" i="3"/>
  <c r="A728" i="3"/>
  <c r="B728" i="3" s="1"/>
  <c r="I727" i="3" l="1"/>
  <c r="W727" i="3" s="1"/>
  <c r="M727" i="3"/>
  <c r="N727" i="3" s="1"/>
  <c r="L727" i="3"/>
  <c r="AA728" i="3"/>
  <c r="AC728" i="3"/>
  <c r="Z728" i="3"/>
  <c r="AD728" i="3"/>
  <c r="P728" i="3"/>
  <c r="Q728" i="3" s="1"/>
  <c r="R728" i="3" s="1"/>
  <c r="S728" i="3" s="1"/>
  <c r="T728" i="3" l="1"/>
  <c r="U727" i="3"/>
  <c r="Y726" i="3"/>
  <c r="D728" i="3" l="1"/>
  <c r="G728" i="3" s="1"/>
  <c r="AG728" i="3"/>
  <c r="AH728" i="3"/>
  <c r="E728" i="3"/>
  <c r="H728" i="3" s="1"/>
  <c r="K728" i="3" s="1"/>
  <c r="AE728" i="3" s="1"/>
  <c r="F728" i="3" l="1"/>
  <c r="V728" i="3"/>
  <c r="A729" i="3"/>
  <c r="B729" i="3" s="1"/>
  <c r="I728" i="3"/>
  <c r="J728" i="3"/>
  <c r="M728" i="3"/>
  <c r="N728" i="3" s="1"/>
  <c r="AA729" i="3" l="1"/>
  <c r="P729" i="3"/>
  <c r="Q729" i="3" s="1"/>
  <c r="R729" i="3" s="1"/>
  <c r="S729" i="3" s="1"/>
  <c r="Z729" i="3"/>
  <c r="AD729" i="3"/>
  <c r="AC729" i="3"/>
  <c r="L728" i="3"/>
  <c r="W728" i="3"/>
  <c r="T729" i="3" l="1"/>
  <c r="AG729" i="3" s="1"/>
  <c r="U728" i="3"/>
  <c r="Y727" i="3"/>
  <c r="AH729" i="3" l="1"/>
  <c r="D729" i="3"/>
  <c r="G729" i="3" s="1"/>
  <c r="E729" i="3"/>
  <c r="H729" i="3" s="1"/>
  <c r="K729" i="3" s="1"/>
  <c r="AE729" i="3" s="1"/>
  <c r="F729" i="3" l="1"/>
  <c r="V729" i="3"/>
  <c r="A730" i="3"/>
  <c r="B730" i="3" s="1"/>
  <c r="I729" i="3"/>
  <c r="J729" i="3"/>
  <c r="M729" i="3"/>
  <c r="N729" i="3" s="1"/>
  <c r="L729" i="3" l="1"/>
  <c r="Z730" i="3"/>
  <c r="AD730" i="3"/>
  <c r="P730" i="3"/>
  <c r="Q730" i="3" s="1"/>
  <c r="R730" i="3" s="1"/>
  <c r="S730" i="3" s="1"/>
  <c r="AA730" i="3"/>
  <c r="AC730" i="3"/>
  <c r="W729" i="3"/>
  <c r="T730" i="3" l="1"/>
  <c r="AH730" i="3" s="1"/>
  <c r="U729" i="3"/>
  <c r="Y728" i="3"/>
  <c r="D730" i="3" l="1"/>
  <c r="G730" i="3" s="1"/>
  <c r="AG730" i="3"/>
  <c r="E730" i="3"/>
  <c r="H730" i="3" s="1"/>
  <c r="K730" i="3" s="1"/>
  <c r="AE730" i="3" s="1"/>
  <c r="F730" i="3" l="1"/>
  <c r="V730" i="3"/>
  <c r="A731" i="3"/>
  <c r="B731" i="3" s="1"/>
  <c r="I730" i="3"/>
  <c r="J730" i="3"/>
  <c r="M730" i="3"/>
  <c r="N730" i="3" s="1"/>
  <c r="P731" i="3" l="1"/>
  <c r="Q731" i="3" s="1"/>
  <c r="R731" i="3" s="1"/>
  <c r="S731" i="3" s="1"/>
  <c r="AC731" i="3"/>
  <c r="AD731" i="3"/>
  <c r="AA731" i="3"/>
  <c r="Z731" i="3"/>
  <c r="L730" i="3"/>
  <c r="W730" i="3"/>
  <c r="U730" i="3" l="1"/>
  <c r="Y729" i="3"/>
  <c r="T731" i="3"/>
  <c r="D731" i="3" l="1"/>
  <c r="G731" i="3" s="1"/>
  <c r="AH731" i="3"/>
  <c r="E731" i="3"/>
  <c r="H731" i="3" s="1"/>
  <c r="AG731" i="3"/>
  <c r="K731" i="3" l="1"/>
  <c r="AE731" i="3" s="1"/>
  <c r="I731" i="3"/>
  <c r="J731" i="3"/>
  <c r="M731" i="3"/>
  <c r="N731" i="3" s="1"/>
  <c r="F731" i="3"/>
  <c r="L731" i="3" l="1"/>
  <c r="V731" i="3"/>
  <c r="W731" i="3" s="1"/>
  <c r="A732" i="3"/>
  <c r="B732" i="3" s="1"/>
  <c r="AC732" i="3" l="1"/>
  <c r="AA732" i="3"/>
  <c r="P732" i="3"/>
  <c r="Q732" i="3" s="1"/>
  <c r="R732" i="3" s="1"/>
  <c r="S732" i="3" s="1"/>
  <c r="AD732" i="3"/>
  <c r="Z732" i="3"/>
  <c r="U731" i="3"/>
  <c r="Y730" i="3"/>
  <c r="T732" i="3" l="1"/>
  <c r="AH732" i="3" s="1"/>
  <c r="E732" i="3" l="1"/>
  <c r="H732" i="3" s="1"/>
  <c r="K732" i="3" s="1"/>
  <c r="AE732" i="3" s="1"/>
  <c r="D732" i="3"/>
  <c r="AG732" i="3"/>
  <c r="F732" i="3" l="1"/>
  <c r="G732" i="3"/>
  <c r="I732" i="3" s="1"/>
  <c r="V732" i="3"/>
  <c r="A733" i="3"/>
  <c r="B733" i="3" s="1"/>
  <c r="J732" i="3" l="1"/>
  <c r="L732" i="3" s="1"/>
  <c r="M732" i="3"/>
  <c r="N732" i="3" s="1"/>
  <c r="W732" i="3"/>
  <c r="P733" i="3"/>
  <c r="Q733" i="3" s="1"/>
  <c r="R733" i="3" s="1"/>
  <c r="S733" i="3" s="1"/>
  <c r="AC733" i="3"/>
  <c r="AD733" i="3"/>
  <c r="AA733" i="3"/>
  <c r="Z733" i="3"/>
  <c r="T733" i="3" l="1"/>
  <c r="AH733" i="3" s="1"/>
  <c r="U732" i="3"/>
  <c r="Y731" i="3"/>
  <c r="E733" i="3" l="1"/>
  <c r="H733" i="3" s="1"/>
  <c r="K733" i="3" s="1"/>
  <c r="AE733" i="3" s="1"/>
  <c r="AG733" i="3"/>
  <c r="D733" i="3"/>
  <c r="F733" i="3" l="1"/>
  <c r="G733" i="3"/>
  <c r="M733" i="3" s="1"/>
  <c r="N733" i="3" s="1"/>
  <c r="V733" i="3"/>
  <c r="A734" i="3"/>
  <c r="B734" i="3" s="1"/>
  <c r="J733" i="3" l="1"/>
  <c r="L733" i="3" s="1"/>
  <c r="I733" i="3"/>
  <c r="W733" i="3" s="1"/>
  <c r="AC734" i="3"/>
  <c r="Z734" i="3"/>
  <c r="P734" i="3"/>
  <c r="Q734" i="3" s="1"/>
  <c r="R734" i="3" s="1"/>
  <c r="S734" i="3" s="1"/>
  <c r="AA734" i="3"/>
  <c r="T734" i="3" l="1"/>
  <c r="AH734" i="3" s="1"/>
  <c r="U733" i="3"/>
  <c r="Y732" i="3"/>
  <c r="E734" i="3" l="1"/>
  <c r="H734" i="3" s="1"/>
  <c r="K734" i="3" s="1"/>
  <c r="AE734" i="3" s="1"/>
  <c r="AG734" i="3"/>
  <c r="D734" i="3"/>
  <c r="G734" i="3" s="1"/>
  <c r="F734" i="3" l="1"/>
  <c r="I734" i="3"/>
  <c r="J734" i="3"/>
  <c r="AD734" i="3" s="1"/>
  <c r="M734" i="3"/>
  <c r="N734" i="3" s="1"/>
  <c r="V734" i="3"/>
  <c r="A735" i="3"/>
  <c r="B735" i="3" s="1"/>
  <c r="W734" i="3" l="1"/>
  <c r="AA735" i="3"/>
  <c r="Z735" i="3"/>
  <c r="AD735" i="3"/>
  <c r="AC735" i="3"/>
  <c r="P735" i="3"/>
  <c r="Q735" i="3" s="1"/>
  <c r="R735" i="3" s="1"/>
  <c r="S735" i="3" s="1"/>
  <c r="L734" i="3"/>
  <c r="T735" i="3" l="1"/>
  <c r="AH735" i="3" s="1"/>
  <c r="U734" i="3"/>
  <c r="Y733" i="3"/>
  <c r="E735" i="3" l="1"/>
  <c r="H735" i="3" s="1"/>
  <c r="K735" i="3" s="1"/>
  <c r="AE735" i="3" s="1"/>
  <c r="AG735" i="3"/>
  <c r="D735" i="3"/>
  <c r="F735" i="3" l="1"/>
  <c r="G735" i="3"/>
  <c r="I735" i="3" s="1"/>
  <c r="V735" i="3"/>
  <c r="A736" i="3"/>
  <c r="B736" i="3" s="1"/>
  <c r="M735" i="3" l="1"/>
  <c r="N735" i="3" s="1"/>
  <c r="J735" i="3"/>
  <c r="L735" i="3" s="1"/>
  <c r="W735" i="3"/>
  <c r="Z736" i="3"/>
  <c r="P736" i="3"/>
  <c r="Q736" i="3" s="1"/>
  <c r="R736" i="3" s="1"/>
  <c r="S736" i="3" s="1"/>
  <c r="AC736" i="3"/>
  <c r="AA736" i="3"/>
  <c r="AD736" i="3"/>
  <c r="T736" i="3" l="1"/>
  <c r="AH736" i="3" s="1"/>
  <c r="U735" i="3"/>
  <c r="Y734" i="3"/>
  <c r="AG736" i="3" l="1"/>
  <c r="E736" i="3"/>
  <c r="H736" i="3" s="1"/>
  <c r="K736" i="3" s="1"/>
  <c r="AE736" i="3" s="1"/>
  <c r="D736" i="3"/>
  <c r="F736" i="3" l="1"/>
  <c r="G736" i="3"/>
  <c r="I736" i="3" s="1"/>
  <c r="V736" i="3"/>
  <c r="A737" i="3"/>
  <c r="B737" i="3" s="1"/>
  <c r="M736" i="3" l="1"/>
  <c r="N736" i="3" s="1"/>
  <c r="J736" i="3"/>
  <c r="L736" i="3" s="1"/>
  <c r="AA737" i="3"/>
  <c r="AC737" i="3"/>
  <c r="P737" i="3"/>
  <c r="Q737" i="3" s="1"/>
  <c r="R737" i="3" s="1"/>
  <c r="S737" i="3" s="1"/>
  <c r="AD737" i="3"/>
  <c r="Z737" i="3"/>
  <c r="W736" i="3"/>
  <c r="T737" i="3" l="1"/>
  <c r="AG737" i="3" s="1"/>
  <c r="U736" i="3"/>
  <c r="Y735" i="3"/>
  <c r="D737" i="3" l="1"/>
  <c r="G737" i="3" s="1"/>
  <c r="E737" i="3"/>
  <c r="H737" i="3" s="1"/>
  <c r="K737" i="3" s="1"/>
  <c r="AE737" i="3" s="1"/>
  <c r="AH737" i="3"/>
  <c r="F737" i="3" l="1"/>
  <c r="V737" i="3"/>
  <c r="A738" i="3"/>
  <c r="B738" i="3" s="1"/>
  <c r="I737" i="3"/>
  <c r="J737" i="3"/>
  <c r="M737" i="3"/>
  <c r="N737" i="3" s="1"/>
  <c r="L737" i="3" l="1"/>
  <c r="Z738" i="3"/>
  <c r="AD738" i="3"/>
  <c r="AA738" i="3"/>
  <c r="AC738" i="3"/>
  <c r="P738" i="3"/>
  <c r="Q738" i="3" s="1"/>
  <c r="R738" i="3" s="1"/>
  <c r="S738" i="3" s="1"/>
  <c r="W737" i="3"/>
  <c r="T738" i="3" l="1"/>
  <c r="AG738" i="3" s="1"/>
  <c r="U737" i="3"/>
  <c r="Y736" i="3"/>
  <c r="D738" i="3" l="1"/>
  <c r="G738" i="3" s="1"/>
  <c r="E738" i="3"/>
  <c r="H738" i="3" s="1"/>
  <c r="K738" i="3" s="1"/>
  <c r="AE738" i="3" s="1"/>
  <c r="AH738" i="3"/>
  <c r="F738" i="3" l="1"/>
  <c r="V738" i="3"/>
  <c r="A739" i="3"/>
  <c r="B739" i="3" s="1"/>
  <c r="I738" i="3"/>
  <c r="J738" i="3"/>
  <c r="M738" i="3"/>
  <c r="N738" i="3" s="1"/>
  <c r="L738" i="3" l="1"/>
  <c r="P739" i="3"/>
  <c r="Q739" i="3" s="1"/>
  <c r="R739" i="3" s="1"/>
  <c r="S739" i="3" s="1"/>
  <c r="AC739" i="3"/>
  <c r="AA739" i="3"/>
  <c r="AD739" i="3"/>
  <c r="Z739" i="3"/>
  <c r="W738" i="3"/>
  <c r="T739" i="3" l="1"/>
  <c r="AH739" i="3" s="1"/>
  <c r="U738" i="3"/>
  <c r="Y737" i="3"/>
  <c r="AG739" i="3" l="1"/>
  <c r="E739" i="3"/>
  <c r="H739" i="3" s="1"/>
  <c r="K739" i="3" s="1"/>
  <c r="AE739" i="3" s="1"/>
  <c r="D739" i="3"/>
  <c r="F739" i="3" l="1"/>
  <c r="G739" i="3"/>
  <c r="I739" i="3" s="1"/>
  <c r="V739" i="3"/>
  <c r="A740" i="3"/>
  <c r="B740" i="3" s="1"/>
  <c r="M739" i="3" l="1"/>
  <c r="N739" i="3" s="1"/>
  <c r="J739" i="3"/>
  <c r="L739" i="3" s="1"/>
  <c r="AC740" i="3"/>
  <c r="Z740" i="3"/>
  <c r="AD740" i="3"/>
  <c r="AA740" i="3"/>
  <c r="P740" i="3"/>
  <c r="Q740" i="3" s="1"/>
  <c r="R740" i="3" s="1"/>
  <c r="S740" i="3" s="1"/>
  <c r="W739" i="3"/>
  <c r="T740" i="3" l="1"/>
  <c r="AG740" i="3" s="1"/>
  <c r="U739" i="3"/>
  <c r="Y738" i="3"/>
  <c r="D740" i="3" l="1"/>
  <c r="G740" i="3" s="1"/>
  <c r="AH740" i="3"/>
  <c r="E740" i="3"/>
  <c r="H740" i="3" s="1"/>
  <c r="K740" i="3" l="1"/>
  <c r="AE740" i="3" s="1"/>
  <c r="I740" i="3"/>
  <c r="J740" i="3"/>
  <c r="M740" i="3"/>
  <c r="N740" i="3" s="1"/>
  <c r="F740" i="3"/>
  <c r="L740" i="3" l="1"/>
  <c r="V740" i="3"/>
  <c r="W740" i="3" s="1"/>
  <c r="A741" i="3"/>
  <c r="B741" i="3" s="1"/>
  <c r="Z741" i="3" l="1"/>
  <c r="P741" i="3"/>
  <c r="Q741" i="3" s="1"/>
  <c r="R741" i="3" s="1"/>
  <c r="S741" i="3" s="1"/>
  <c r="AA741" i="3"/>
  <c r="AC741" i="3"/>
  <c r="AD741" i="3"/>
  <c r="U740" i="3"/>
  <c r="Y739" i="3"/>
  <c r="T741" i="3" l="1"/>
  <c r="AG741" i="3" s="1"/>
  <c r="E741" i="3" l="1"/>
  <c r="H741" i="3" s="1"/>
  <c r="K741" i="3" s="1"/>
  <c r="AE741" i="3" s="1"/>
  <c r="AH741" i="3"/>
  <c r="D741" i="3"/>
  <c r="G741" i="3" s="1"/>
  <c r="F741" i="3" l="1"/>
  <c r="I741" i="3"/>
  <c r="J741" i="3"/>
  <c r="M741" i="3"/>
  <c r="N741" i="3" s="1"/>
  <c r="V741" i="3"/>
  <c r="A742" i="3"/>
  <c r="B742" i="3" s="1"/>
  <c r="W741" i="3" l="1"/>
  <c r="L741" i="3"/>
  <c r="AC742" i="3"/>
  <c r="P742" i="3"/>
  <c r="Q742" i="3" s="1"/>
  <c r="R742" i="3" s="1"/>
  <c r="S742" i="3" s="1"/>
  <c r="AA742" i="3"/>
  <c r="AD742" i="3"/>
  <c r="Z742" i="3"/>
  <c r="T742" i="3" l="1"/>
  <c r="AG742" i="3" s="1"/>
  <c r="U741" i="3"/>
  <c r="Y740" i="3"/>
  <c r="E742" i="3" l="1"/>
  <c r="H742" i="3" s="1"/>
  <c r="K742" i="3" s="1"/>
  <c r="AE742" i="3" s="1"/>
  <c r="AH742" i="3"/>
  <c r="D742" i="3"/>
  <c r="F742" i="3" l="1"/>
  <c r="G742" i="3"/>
  <c r="I742" i="3" s="1"/>
  <c r="V742" i="3"/>
  <c r="A743" i="3"/>
  <c r="B743" i="3" s="1"/>
  <c r="M742" i="3" l="1"/>
  <c r="N742" i="3" s="1"/>
  <c r="J742" i="3"/>
  <c r="L742" i="3" s="1"/>
  <c r="P743" i="3"/>
  <c r="Q743" i="3" s="1"/>
  <c r="R743" i="3" s="1"/>
  <c r="S743" i="3" s="1"/>
  <c r="AC743" i="3"/>
  <c r="AD743" i="3"/>
  <c r="Z743" i="3"/>
  <c r="AA743" i="3"/>
  <c r="W742" i="3"/>
  <c r="T743" i="3" l="1"/>
  <c r="AG743" i="3" s="1"/>
  <c r="U742" i="3"/>
  <c r="Y741" i="3"/>
  <c r="AH743" i="3" l="1"/>
  <c r="E743" i="3"/>
  <c r="H743" i="3" s="1"/>
  <c r="K743" i="3" s="1"/>
  <c r="AE743" i="3" s="1"/>
  <c r="D743" i="3"/>
  <c r="F743" i="3" l="1"/>
  <c r="G743" i="3"/>
  <c r="I743" i="3" s="1"/>
  <c r="V743" i="3"/>
  <c r="A744" i="3"/>
  <c r="B744" i="3" s="1"/>
  <c r="M743" i="3" l="1"/>
  <c r="N743" i="3" s="1"/>
  <c r="J743" i="3"/>
  <c r="L743" i="3" s="1"/>
  <c r="W743" i="3"/>
  <c r="AA744" i="3"/>
  <c r="Z744" i="3"/>
  <c r="AC744" i="3"/>
  <c r="P744" i="3"/>
  <c r="Q744" i="3" s="1"/>
  <c r="R744" i="3" s="1"/>
  <c r="S744" i="3" s="1"/>
  <c r="T744" i="3" l="1"/>
  <c r="AG744" i="3" s="1"/>
  <c r="U743" i="3"/>
  <c r="Y742" i="3"/>
  <c r="AH744" i="3" l="1"/>
  <c r="E744" i="3"/>
  <c r="H744" i="3" s="1"/>
  <c r="K744" i="3" s="1"/>
  <c r="AE744" i="3" s="1"/>
  <c r="D744" i="3"/>
  <c r="F744" i="3" l="1"/>
  <c r="G744" i="3"/>
  <c r="I744" i="3" s="1"/>
  <c r="V744" i="3"/>
  <c r="A745" i="3"/>
  <c r="B745" i="3" s="1"/>
  <c r="J744" i="3" l="1"/>
  <c r="AD744" i="3" s="1"/>
  <c r="M744" i="3"/>
  <c r="N744" i="3" s="1"/>
  <c r="W744" i="3"/>
  <c r="AA745" i="3"/>
  <c r="AC745" i="3"/>
  <c r="AD745" i="3"/>
  <c r="Z745" i="3"/>
  <c r="P745" i="3"/>
  <c r="Q745" i="3" s="1"/>
  <c r="R745" i="3" s="1"/>
  <c r="S745" i="3" s="1"/>
  <c r="L744" i="3" l="1"/>
  <c r="U744" i="3" s="1"/>
  <c r="T745" i="3"/>
  <c r="Y743" i="3" l="1"/>
  <c r="AH745" i="3"/>
  <c r="AG745" i="3"/>
  <c r="E745" i="3"/>
  <c r="H745" i="3" s="1"/>
  <c r="K745" i="3" s="1"/>
  <c r="AE745" i="3" s="1"/>
  <c r="D745" i="3"/>
  <c r="F745" i="3" l="1"/>
  <c r="G745" i="3"/>
  <c r="V745" i="3"/>
  <c r="A746" i="3"/>
  <c r="B746" i="3" s="1"/>
  <c r="P746" i="3" l="1"/>
  <c r="Q746" i="3" s="1"/>
  <c r="R746" i="3" s="1"/>
  <c r="S746" i="3" s="1"/>
  <c r="AC746" i="3"/>
  <c r="AA746" i="3"/>
  <c r="Z746" i="3"/>
  <c r="AD746" i="3"/>
  <c r="I745" i="3"/>
  <c r="W745" i="3" s="1"/>
  <c r="J745" i="3"/>
  <c r="M745" i="3"/>
  <c r="N745" i="3" s="1"/>
  <c r="L745" i="3" l="1"/>
  <c r="T746" i="3"/>
  <c r="AG746" i="3" l="1"/>
  <c r="U745" i="3"/>
  <c r="D746" i="3" s="1"/>
  <c r="AH746" i="3"/>
  <c r="Y744" i="3"/>
  <c r="G746" i="3" l="1"/>
  <c r="E746" i="3"/>
  <c r="H746" i="3" s="1"/>
  <c r="K746" i="3" l="1"/>
  <c r="AE746" i="3" s="1"/>
  <c r="I746" i="3"/>
  <c r="J746" i="3"/>
  <c r="M746" i="3"/>
  <c r="N746" i="3" s="1"/>
  <c r="F746" i="3"/>
  <c r="V746" i="3" l="1"/>
  <c r="W746" i="3" s="1"/>
  <c r="A747" i="3"/>
  <c r="B747" i="3" s="1"/>
  <c r="L746" i="3"/>
  <c r="U746" i="3" l="1"/>
  <c r="Y745" i="3"/>
  <c r="AC747" i="3"/>
  <c r="P747" i="3"/>
  <c r="Q747" i="3" s="1"/>
  <c r="R747" i="3" s="1"/>
  <c r="S747" i="3" s="1"/>
  <c r="AA747" i="3"/>
  <c r="AD747" i="3"/>
  <c r="Z747" i="3"/>
  <c r="T747" i="3" l="1"/>
  <c r="D747" i="3" s="1"/>
  <c r="E747" i="3" l="1"/>
  <c r="H747" i="3" s="1"/>
  <c r="K747" i="3" s="1"/>
  <c r="AE747" i="3" s="1"/>
  <c r="AG747" i="3"/>
  <c r="AH747" i="3"/>
  <c r="G747" i="3"/>
  <c r="F747" i="3" l="1"/>
  <c r="V747" i="3"/>
  <c r="A748" i="3"/>
  <c r="B748" i="3" s="1"/>
  <c r="I747" i="3"/>
  <c r="J747" i="3"/>
  <c r="M747" i="3"/>
  <c r="N747" i="3" s="1"/>
  <c r="AC748" i="3" l="1"/>
  <c r="P748" i="3"/>
  <c r="Q748" i="3" s="1"/>
  <c r="R748" i="3" s="1"/>
  <c r="S748" i="3" s="1"/>
  <c r="AA748" i="3"/>
  <c r="AD748" i="3"/>
  <c r="Z748" i="3"/>
  <c r="L747" i="3"/>
  <c r="W747" i="3"/>
  <c r="T748" i="3" l="1"/>
  <c r="AH748" i="3" s="1"/>
  <c r="U747" i="3"/>
  <c r="Y746" i="3"/>
  <c r="E748" i="3" l="1"/>
  <c r="H748" i="3" s="1"/>
  <c r="K748" i="3" s="1"/>
  <c r="AE748" i="3" s="1"/>
  <c r="AG748" i="3"/>
  <c r="D748" i="3"/>
  <c r="F748" i="3" l="1"/>
  <c r="G748" i="3"/>
  <c r="I748" i="3" s="1"/>
  <c r="V748" i="3"/>
  <c r="A749" i="3"/>
  <c r="B749" i="3" s="1"/>
  <c r="M748" i="3" l="1"/>
  <c r="N748" i="3" s="1"/>
  <c r="J748" i="3"/>
  <c r="L748" i="3" s="1"/>
  <c r="AC749" i="3"/>
  <c r="AD749" i="3"/>
  <c r="AA749" i="3"/>
  <c r="Z749" i="3"/>
  <c r="P749" i="3"/>
  <c r="Q749" i="3" s="1"/>
  <c r="R749" i="3" s="1"/>
  <c r="S749" i="3" s="1"/>
  <c r="W748" i="3"/>
  <c r="T749" i="3" l="1"/>
  <c r="AH749" i="3" s="1"/>
  <c r="U748" i="3"/>
  <c r="Y747" i="3"/>
  <c r="D749" i="3" l="1"/>
  <c r="G749" i="3" s="1"/>
  <c r="AG749" i="3"/>
  <c r="E749" i="3"/>
  <c r="H749" i="3" s="1"/>
  <c r="K749" i="3" s="1"/>
  <c r="AE749" i="3" s="1"/>
  <c r="F749" i="3" l="1"/>
  <c r="V749" i="3"/>
  <c r="A750" i="3"/>
  <c r="B750" i="3" s="1"/>
  <c r="I749" i="3"/>
  <c r="J749" i="3"/>
  <c r="M749" i="3"/>
  <c r="N749" i="3" s="1"/>
  <c r="Z750" i="3" l="1"/>
  <c r="AD750" i="3"/>
  <c r="AC750" i="3"/>
  <c r="AA750" i="3"/>
  <c r="P750" i="3"/>
  <c r="Q750" i="3" s="1"/>
  <c r="R750" i="3" s="1"/>
  <c r="S750" i="3" s="1"/>
  <c r="L749" i="3"/>
  <c r="W749" i="3"/>
  <c r="T750" i="3" l="1"/>
  <c r="AH750" i="3" s="1"/>
  <c r="U749" i="3"/>
  <c r="Y748" i="3"/>
  <c r="E750" i="3" l="1"/>
  <c r="H750" i="3" s="1"/>
  <c r="K750" i="3" s="1"/>
  <c r="AE750" i="3" s="1"/>
  <c r="AG750" i="3"/>
  <c r="D750" i="3"/>
  <c r="G750" i="3" s="1"/>
  <c r="F750" i="3" l="1"/>
  <c r="V750" i="3"/>
  <c r="A751" i="3"/>
  <c r="B751" i="3" s="1"/>
  <c r="I750" i="3"/>
  <c r="J750" i="3"/>
  <c r="M750" i="3"/>
  <c r="N750" i="3" s="1"/>
  <c r="Z751" i="3" l="1"/>
  <c r="AA751" i="3"/>
  <c r="AC751" i="3"/>
  <c r="AD751" i="3"/>
  <c r="P751" i="3"/>
  <c r="Q751" i="3" s="1"/>
  <c r="R751" i="3" s="1"/>
  <c r="S751" i="3" s="1"/>
  <c r="L750" i="3"/>
  <c r="W750" i="3"/>
  <c r="T751" i="3" l="1"/>
  <c r="AG751" i="3" s="1"/>
  <c r="U750" i="3"/>
  <c r="Y749" i="3"/>
  <c r="D751" i="3" l="1"/>
  <c r="G751" i="3" s="1"/>
  <c r="AH751" i="3"/>
  <c r="E751" i="3"/>
  <c r="H751" i="3" s="1"/>
  <c r="K751" i="3" s="1"/>
  <c r="AE751" i="3" s="1"/>
  <c r="F751" i="3" l="1"/>
  <c r="V751" i="3"/>
  <c r="A752" i="3"/>
  <c r="B752" i="3" s="1"/>
  <c r="I751" i="3"/>
  <c r="J751" i="3"/>
  <c r="M751" i="3"/>
  <c r="N751" i="3" s="1"/>
  <c r="L751" i="3" l="1"/>
  <c r="W751" i="3"/>
  <c r="AC752" i="3"/>
  <c r="AA752" i="3"/>
  <c r="AD752" i="3"/>
  <c r="Z752" i="3"/>
  <c r="P752" i="3"/>
  <c r="Q752" i="3" s="1"/>
  <c r="R752" i="3" s="1"/>
  <c r="S752" i="3" s="1"/>
  <c r="U751" i="3" l="1"/>
  <c r="Y750" i="3"/>
  <c r="T752" i="3"/>
  <c r="AG752" i="3" s="1"/>
  <c r="E752" i="3" l="1"/>
  <c r="H752" i="3" s="1"/>
  <c r="AH752" i="3"/>
  <c r="D752" i="3"/>
  <c r="F752" i="3" l="1"/>
  <c r="G752" i="3"/>
  <c r="K752" i="3"/>
  <c r="AE752" i="3" s="1"/>
  <c r="V752" i="3" l="1"/>
  <c r="A753" i="3"/>
  <c r="B753" i="3" s="1"/>
  <c r="I752" i="3"/>
  <c r="J752" i="3"/>
  <c r="M752" i="3"/>
  <c r="N752" i="3" s="1"/>
  <c r="W752" i="3" l="1"/>
  <c r="P753" i="3"/>
  <c r="Q753" i="3" s="1"/>
  <c r="R753" i="3" s="1"/>
  <c r="S753" i="3" s="1"/>
  <c r="AA753" i="3"/>
  <c r="Z753" i="3"/>
  <c r="AD753" i="3"/>
  <c r="AC753" i="3"/>
  <c r="L752" i="3"/>
  <c r="U752" i="3" l="1"/>
  <c r="Y751" i="3"/>
  <c r="T753" i="3"/>
  <c r="AG753" i="3" s="1"/>
  <c r="D753" i="3" l="1"/>
  <c r="G753" i="3" s="1"/>
  <c r="AH753" i="3"/>
  <c r="E753" i="3"/>
  <c r="H753" i="3" s="1"/>
  <c r="K753" i="3" s="1"/>
  <c r="AE753" i="3" s="1"/>
  <c r="F753" i="3" l="1"/>
  <c r="V753" i="3"/>
  <c r="A754" i="3"/>
  <c r="B754" i="3" s="1"/>
  <c r="I753" i="3"/>
  <c r="J753" i="3"/>
  <c r="M753" i="3"/>
  <c r="N753" i="3" s="1"/>
  <c r="AA754" i="3" l="1"/>
  <c r="AC754" i="3"/>
  <c r="P754" i="3"/>
  <c r="Q754" i="3" s="1"/>
  <c r="R754" i="3" s="1"/>
  <c r="S754" i="3" s="1"/>
  <c r="Z754" i="3"/>
  <c r="L753" i="3"/>
  <c r="W753" i="3"/>
  <c r="T754" i="3" l="1"/>
  <c r="AH754" i="3" s="1"/>
  <c r="U753" i="3"/>
  <c r="Y752" i="3"/>
  <c r="D754" i="3" l="1"/>
  <c r="G754" i="3" s="1"/>
  <c r="E754" i="3"/>
  <c r="H754" i="3" s="1"/>
  <c r="K754" i="3" s="1"/>
  <c r="AE754" i="3" s="1"/>
  <c r="AG754" i="3"/>
  <c r="F754" i="3" l="1"/>
  <c r="I754" i="3"/>
  <c r="J754" i="3"/>
  <c r="AD754" i="3" s="1"/>
  <c r="M754" i="3"/>
  <c r="N754" i="3" s="1"/>
  <c r="V754" i="3"/>
  <c r="A755" i="3"/>
  <c r="B755" i="3" s="1"/>
  <c r="W754" i="3" l="1"/>
  <c r="AA755" i="3"/>
  <c r="AD755" i="3"/>
  <c r="AC755" i="3"/>
  <c r="Z755" i="3"/>
  <c r="P755" i="3"/>
  <c r="Q755" i="3" s="1"/>
  <c r="R755" i="3" s="1"/>
  <c r="S755" i="3" s="1"/>
  <c r="L754" i="3"/>
  <c r="T755" i="3" l="1"/>
  <c r="AH755" i="3" s="1"/>
  <c r="U754" i="3"/>
  <c r="Y753" i="3"/>
  <c r="AG755" i="3" l="1"/>
  <c r="D755" i="3"/>
  <c r="G755" i="3" s="1"/>
  <c r="E755" i="3"/>
  <c r="H755" i="3" s="1"/>
  <c r="K755" i="3" l="1"/>
  <c r="AE755" i="3" s="1"/>
  <c r="I755" i="3"/>
  <c r="J755" i="3"/>
  <c r="M755" i="3"/>
  <c r="N755" i="3" s="1"/>
  <c r="F755" i="3"/>
  <c r="L755" i="3" l="1"/>
  <c r="V755" i="3"/>
  <c r="W755" i="3" s="1"/>
  <c r="A756" i="3"/>
  <c r="B756" i="3" s="1"/>
  <c r="Z756" i="3" l="1"/>
  <c r="AC756" i="3"/>
  <c r="AD756" i="3"/>
  <c r="AA756" i="3"/>
  <c r="P756" i="3"/>
  <c r="Q756" i="3" s="1"/>
  <c r="R756" i="3" s="1"/>
  <c r="S756" i="3" s="1"/>
  <c r="U755" i="3"/>
  <c r="Y754" i="3"/>
  <c r="T756" i="3" l="1"/>
  <c r="E756" i="3" s="1"/>
  <c r="H756" i="3" s="1"/>
  <c r="AG756" i="3" l="1"/>
  <c r="AH756" i="3"/>
  <c r="K756" i="3"/>
  <c r="AE756" i="3" s="1"/>
  <c r="D756" i="3"/>
  <c r="F756" i="3" l="1"/>
  <c r="G756" i="3"/>
  <c r="V756" i="3"/>
  <c r="A757" i="3"/>
  <c r="B757" i="3" s="1"/>
  <c r="AA757" i="3" l="1"/>
  <c r="Z757" i="3"/>
  <c r="P757" i="3"/>
  <c r="Q757" i="3" s="1"/>
  <c r="R757" i="3" s="1"/>
  <c r="S757" i="3" s="1"/>
  <c r="AD757" i="3"/>
  <c r="AC757" i="3"/>
  <c r="I756" i="3"/>
  <c r="W756" i="3" s="1"/>
  <c r="J756" i="3"/>
  <c r="M756" i="3"/>
  <c r="N756" i="3" s="1"/>
  <c r="L756" i="3" l="1"/>
  <c r="T757" i="3"/>
  <c r="AH757" i="3" l="1"/>
  <c r="AG757" i="3"/>
  <c r="U756" i="3"/>
  <c r="E757" i="3" s="1"/>
  <c r="H757" i="3" s="1"/>
  <c r="Y755" i="3"/>
  <c r="K757" i="3" l="1"/>
  <c r="AE757" i="3" s="1"/>
  <c r="D757" i="3"/>
  <c r="F757" i="3" l="1"/>
  <c r="G757" i="3"/>
  <c r="V757" i="3"/>
  <c r="A758" i="3"/>
  <c r="B758" i="3" s="1"/>
  <c r="AC758" i="3" l="1"/>
  <c r="AD758" i="3"/>
  <c r="P758" i="3"/>
  <c r="Q758" i="3" s="1"/>
  <c r="R758" i="3" s="1"/>
  <c r="S758" i="3" s="1"/>
  <c r="AA758" i="3"/>
  <c r="Z758" i="3"/>
  <c r="I757" i="3"/>
  <c r="W757" i="3" s="1"/>
  <c r="J757" i="3"/>
  <c r="M757" i="3"/>
  <c r="N757" i="3" s="1"/>
  <c r="L757" i="3" l="1"/>
  <c r="T758" i="3"/>
  <c r="AH758" i="3" l="1"/>
  <c r="AG758" i="3"/>
  <c r="U757" i="3"/>
  <c r="D758" i="3" s="1"/>
  <c r="Y756" i="3"/>
  <c r="G758" i="3" l="1"/>
  <c r="E758" i="3"/>
  <c r="H758" i="3" s="1"/>
  <c r="K758" i="3" l="1"/>
  <c r="AE758" i="3" s="1"/>
  <c r="I758" i="3"/>
  <c r="J758" i="3"/>
  <c r="M758" i="3"/>
  <c r="N758" i="3" s="1"/>
  <c r="F758" i="3"/>
  <c r="L758" i="3" l="1"/>
  <c r="V758" i="3"/>
  <c r="W758" i="3" s="1"/>
  <c r="A759" i="3"/>
  <c r="B759" i="3" s="1"/>
  <c r="AC759" i="3" l="1"/>
  <c r="AD759" i="3"/>
  <c r="AA759" i="3"/>
  <c r="P759" i="3"/>
  <c r="Q759" i="3" s="1"/>
  <c r="R759" i="3" s="1"/>
  <c r="S759" i="3" s="1"/>
  <c r="Z759" i="3"/>
  <c r="U758" i="3"/>
  <c r="Y757" i="3"/>
  <c r="T759" i="3" l="1"/>
  <c r="AG759" i="3" s="1"/>
  <c r="D759" i="3" l="1"/>
  <c r="G759" i="3" s="1"/>
  <c r="E759" i="3"/>
  <c r="H759" i="3" s="1"/>
  <c r="K759" i="3" s="1"/>
  <c r="AE759" i="3" s="1"/>
  <c r="AH759" i="3"/>
  <c r="F759" i="3" l="1"/>
  <c r="V759" i="3"/>
  <c r="A760" i="3"/>
  <c r="B760" i="3" s="1"/>
  <c r="I759" i="3"/>
  <c r="J759" i="3"/>
  <c r="M759" i="3"/>
  <c r="N759" i="3" s="1"/>
  <c r="AC760" i="3" l="1"/>
  <c r="Z760" i="3"/>
  <c r="P760" i="3"/>
  <c r="Q760" i="3" s="1"/>
  <c r="R760" i="3" s="1"/>
  <c r="S760" i="3" s="1"/>
  <c r="AA760" i="3"/>
  <c r="AD760" i="3"/>
  <c r="L759" i="3"/>
  <c r="W759" i="3"/>
  <c r="T760" i="3" l="1"/>
  <c r="AG760" i="3" s="1"/>
  <c r="U759" i="3"/>
  <c r="Y758" i="3"/>
  <c r="D760" i="3" l="1"/>
  <c r="G760" i="3" s="1"/>
  <c r="AH760" i="3"/>
  <c r="E760" i="3"/>
  <c r="H760" i="3" s="1"/>
  <c r="K760" i="3" s="1"/>
  <c r="AE760" i="3" s="1"/>
  <c r="F760" i="3" l="1"/>
  <c r="I760" i="3"/>
  <c r="J760" i="3"/>
  <c r="M760" i="3"/>
  <c r="N760" i="3" s="1"/>
  <c r="V760" i="3"/>
  <c r="A761" i="3"/>
  <c r="B761" i="3" s="1"/>
  <c r="W760" i="3" l="1"/>
  <c r="P761" i="3"/>
  <c r="Q761" i="3" s="1"/>
  <c r="R761" i="3" s="1"/>
  <c r="S761" i="3" s="1"/>
  <c r="Z761" i="3"/>
  <c r="AA761" i="3"/>
  <c r="AD761" i="3"/>
  <c r="AC761" i="3"/>
  <c r="L760" i="3"/>
  <c r="U760" i="3" l="1"/>
  <c r="Y759" i="3"/>
  <c r="T761" i="3"/>
  <c r="AH761" i="3" s="1"/>
  <c r="D761" i="3" l="1"/>
  <c r="G761" i="3" s="1"/>
  <c r="E761" i="3"/>
  <c r="H761" i="3" s="1"/>
  <c r="K761" i="3" s="1"/>
  <c r="AE761" i="3" s="1"/>
  <c r="AG761" i="3"/>
  <c r="F761" i="3" l="1"/>
  <c r="I761" i="3"/>
  <c r="J761" i="3"/>
  <c r="M761" i="3"/>
  <c r="N761" i="3" s="1"/>
  <c r="V761" i="3"/>
  <c r="A762" i="3"/>
  <c r="B762" i="3" s="1"/>
  <c r="W761" i="3" l="1"/>
  <c r="Z762" i="3"/>
  <c r="AA762" i="3"/>
  <c r="AD762" i="3"/>
  <c r="AC762" i="3"/>
  <c r="P762" i="3"/>
  <c r="Q762" i="3" s="1"/>
  <c r="R762" i="3" s="1"/>
  <c r="S762" i="3" s="1"/>
  <c r="L761" i="3"/>
  <c r="T762" i="3" l="1"/>
  <c r="AH762" i="3" s="1"/>
  <c r="U761" i="3"/>
  <c r="Y760" i="3"/>
  <c r="AG762" i="3" l="1"/>
  <c r="E762" i="3"/>
  <c r="H762" i="3" s="1"/>
  <c r="K762" i="3" s="1"/>
  <c r="AE762" i="3" s="1"/>
  <c r="D762" i="3"/>
  <c r="F762" i="3" l="1"/>
  <c r="G762" i="3"/>
  <c r="I762" i="3" s="1"/>
  <c r="V762" i="3"/>
  <c r="A763" i="3"/>
  <c r="B763" i="3" s="1"/>
  <c r="M762" i="3" l="1"/>
  <c r="N762" i="3" s="1"/>
  <c r="J762" i="3"/>
  <c r="L762" i="3" s="1"/>
  <c r="W762" i="3"/>
  <c r="AA763" i="3"/>
  <c r="AD763" i="3"/>
  <c r="AC763" i="3"/>
  <c r="Z763" i="3"/>
  <c r="P763" i="3"/>
  <c r="Q763" i="3" s="1"/>
  <c r="R763" i="3" s="1"/>
  <c r="S763" i="3" s="1"/>
  <c r="U762" i="3" l="1"/>
  <c r="Y761" i="3"/>
  <c r="T763" i="3"/>
  <c r="D763" i="3" l="1"/>
  <c r="G763" i="3" s="1"/>
  <c r="AH763" i="3"/>
  <c r="E763" i="3"/>
  <c r="H763" i="3" s="1"/>
  <c r="K763" i="3" s="1"/>
  <c r="AE763" i="3" s="1"/>
  <c r="AG763" i="3"/>
  <c r="F763" i="3" l="1"/>
  <c r="V763" i="3"/>
  <c r="A764" i="3"/>
  <c r="B764" i="3" s="1"/>
  <c r="I763" i="3"/>
  <c r="J763" i="3"/>
  <c r="M763" i="3"/>
  <c r="N763" i="3" s="1"/>
  <c r="L763" i="3" l="1"/>
  <c r="Z764" i="3"/>
  <c r="AA764" i="3"/>
  <c r="AC764" i="3"/>
  <c r="P764" i="3"/>
  <c r="Q764" i="3" s="1"/>
  <c r="R764" i="3" s="1"/>
  <c r="S764" i="3" s="1"/>
  <c r="W763" i="3"/>
  <c r="T764" i="3" l="1"/>
  <c r="AG764" i="3" s="1"/>
  <c r="U763" i="3"/>
  <c r="Y762" i="3"/>
  <c r="E764" i="3" l="1"/>
  <c r="H764" i="3" s="1"/>
  <c r="K764" i="3" s="1"/>
  <c r="AE764" i="3" s="1"/>
  <c r="AH764" i="3"/>
  <c r="D764" i="3"/>
  <c r="G764" i="3" s="1"/>
  <c r="F764" i="3" l="1"/>
  <c r="I764" i="3"/>
  <c r="J764" i="3"/>
  <c r="AD764" i="3" s="1"/>
  <c r="M764" i="3"/>
  <c r="N764" i="3" s="1"/>
  <c r="V764" i="3"/>
  <c r="A765" i="3"/>
  <c r="B765" i="3" s="1"/>
  <c r="W764" i="3" l="1"/>
  <c r="Z765" i="3"/>
  <c r="AC765" i="3"/>
  <c r="AD765" i="3"/>
  <c r="AA765" i="3"/>
  <c r="P765" i="3"/>
  <c r="Q765" i="3" s="1"/>
  <c r="R765" i="3" s="1"/>
  <c r="S765" i="3" s="1"/>
  <c r="L764" i="3"/>
  <c r="T765" i="3" l="1"/>
  <c r="AG765" i="3" s="1"/>
  <c r="U764" i="3"/>
  <c r="Y763" i="3"/>
  <c r="AH765" i="3" l="1"/>
  <c r="D765" i="3"/>
  <c r="G765" i="3" s="1"/>
  <c r="E765" i="3"/>
  <c r="H765" i="3" s="1"/>
  <c r="K765" i="3" s="1"/>
  <c r="AE765" i="3" s="1"/>
  <c r="F765" i="3" l="1"/>
  <c r="V765" i="3"/>
  <c r="A766" i="3"/>
  <c r="B766" i="3" s="1"/>
  <c r="I765" i="3"/>
  <c r="J765" i="3"/>
  <c r="M765" i="3"/>
  <c r="N765" i="3" s="1"/>
  <c r="L765" i="3" l="1"/>
  <c r="P766" i="3"/>
  <c r="Q766" i="3" s="1"/>
  <c r="R766" i="3" s="1"/>
  <c r="S766" i="3" s="1"/>
  <c r="AC766" i="3"/>
  <c r="AD766" i="3"/>
  <c r="Z766" i="3"/>
  <c r="AA766" i="3"/>
  <c r="W765" i="3"/>
  <c r="T766" i="3" l="1"/>
  <c r="AH766" i="3" s="1"/>
  <c r="U765" i="3"/>
  <c r="Y764" i="3"/>
  <c r="AG766" i="3" l="1"/>
  <c r="D766" i="3"/>
  <c r="G766" i="3" s="1"/>
  <c r="E766" i="3"/>
  <c r="H766" i="3" s="1"/>
  <c r="K766" i="3" s="1"/>
  <c r="AE766" i="3" s="1"/>
  <c r="F766" i="3" l="1"/>
  <c r="V766" i="3"/>
  <c r="A767" i="3"/>
  <c r="B767" i="3" s="1"/>
  <c r="I766" i="3"/>
  <c r="J766" i="3"/>
  <c r="M766" i="3"/>
  <c r="N766" i="3" s="1"/>
  <c r="L766" i="3" l="1"/>
  <c r="AC767" i="3"/>
  <c r="AD767" i="3"/>
  <c r="AA767" i="3"/>
  <c r="Z767" i="3"/>
  <c r="P767" i="3"/>
  <c r="Q767" i="3" s="1"/>
  <c r="R767" i="3" s="1"/>
  <c r="S767" i="3" s="1"/>
  <c r="W766" i="3"/>
  <c r="T767" i="3" l="1"/>
  <c r="AG767" i="3" s="1"/>
  <c r="U766" i="3"/>
  <c r="Y765" i="3"/>
  <c r="AH767" i="3" l="1"/>
  <c r="E767" i="3"/>
  <c r="H767" i="3" s="1"/>
  <c r="K767" i="3" s="1"/>
  <c r="AE767" i="3" s="1"/>
  <c r="D767" i="3"/>
  <c r="F767" i="3" l="1"/>
  <c r="G767" i="3"/>
  <c r="I767" i="3" s="1"/>
  <c r="V767" i="3"/>
  <c r="A768" i="3"/>
  <c r="B768" i="3" s="1"/>
  <c r="M767" i="3" l="1"/>
  <c r="N767" i="3" s="1"/>
  <c r="J767" i="3"/>
  <c r="L767" i="3" s="1"/>
  <c r="AC768" i="3"/>
  <c r="P768" i="3"/>
  <c r="Q768" i="3" s="1"/>
  <c r="R768" i="3" s="1"/>
  <c r="S768" i="3" s="1"/>
  <c r="Z768" i="3"/>
  <c r="AD768" i="3"/>
  <c r="AA768" i="3"/>
  <c r="W767" i="3"/>
  <c r="U767" i="3" l="1"/>
  <c r="Y766" i="3"/>
  <c r="T768" i="3"/>
  <c r="D768" i="3" l="1"/>
  <c r="G768" i="3" s="1"/>
  <c r="E768" i="3"/>
  <c r="H768" i="3" s="1"/>
  <c r="K768" i="3" s="1"/>
  <c r="AE768" i="3" s="1"/>
  <c r="AG768" i="3"/>
  <c r="AH768" i="3"/>
  <c r="F768" i="3" l="1"/>
  <c r="V768" i="3"/>
  <c r="A769" i="3"/>
  <c r="B769" i="3" s="1"/>
  <c r="I768" i="3"/>
  <c r="J768" i="3"/>
  <c r="M768" i="3"/>
  <c r="N768" i="3" s="1"/>
  <c r="L768" i="3" l="1"/>
  <c r="AA769" i="3"/>
  <c r="AD769" i="3"/>
  <c r="AC769" i="3"/>
  <c r="Z769" i="3"/>
  <c r="P769" i="3"/>
  <c r="Q769" i="3" s="1"/>
  <c r="R769" i="3" s="1"/>
  <c r="S769" i="3" s="1"/>
  <c r="W768" i="3"/>
  <c r="T769" i="3" l="1"/>
  <c r="U768" i="3"/>
  <c r="Y767" i="3"/>
  <c r="E769" i="3" l="1"/>
  <c r="H769" i="3" s="1"/>
  <c r="K769" i="3" s="1"/>
  <c r="AE769" i="3" s="1"/>
  <c r="D769" i="3"/>
  <c r="AG769" i="3"/>
  <c r="AH769" i="3"/>
  <c r="F769" i="3" l="1"/>
  <c r="G769" i="3"/>
  <c r="V769" i="3"/>
  <c r="A770" i="3"/>
  <c r="B770" i="3" s="1"/>
  <c r="AD770" i="3" l="1"/>
  <c r="P770" i="3"/>
  <c r="Q770" i="3" s="1"/>
  <c r="R770" i="3" s="1"/>
  <c r="S770" i="3" s="1"/>
  <c r="AC770" i="3"/>
  <c r="Z770" i="3"/>
  <c r="AA770" i="3"/>
  <c r="I769" i="3"/>
  <c r="W769" i="3" s="1"/>
  <c r="J769" i="3"/>
  <c r="M769" i="3"/>
  <c r="N769" i="3" s="1"/>
  <c r="T770" i="3" l="1"/>
  <c r="L769" i="3"/>
  <c r="AG770" i="3" l="1"/>
  <c r="AH770" i="3"/>
  <c r="U769" i="3"/>
  <c r="E770" i="3" s="1"/>
  <c r="H770" i="3" s="1"/>
  <c r="Y768" i="3"/>
  <c r="D770" i="3" l="1"/>
  <c r="F770" i="3" s="1"/>
  <c r="K770" i="3"/>
  <c r="AE770" i="3" s="1"/>
  <c r="G770" i="3" l="1"/>
  <c r="I770" i="3" s="1"/>
  <c r="V770" i="3"/>
  <c r="A771" i="3"/>
  <c r="B771" i="3" s="1"/>
  <c r="J770" i="3" l="1"/>
  <c r="L770" i="3" s="1"/>
  <c r="W770" i="3"/>
  <c r="M770" i="3"/>
  <c r="N770" i="3" s="1"/>
  <c r="P771" i="3"/>
  <c r="Q771" i="3" s="1"/>
  <c r="R771" i="3" s="1"/>
  <c r="S771" i="3" s="1"/>
  <c r="AC771" i="3"/>
  <c r="AA771" i="3"/>
  <c r="Z771" i="3"/>
  <c r="AD771" i="3"/>
  <c r="U770" i="3" l="1"/>
  <c r="Y769" i="3"/>
  <c r="T771" i="3"/>
  <c r="D771" i="3" l="1"/>
  <c r="G771" i="3" s="1"/>
  <c r="E771" i="3"/>
  <c r="H771" i="3" s="1"/>
  <c r="AH771" i="3"/>
  <c r="AG771" i="3"/>
  <c r="K771" i="3" l="1"/>
  <c r="AE771" i="3" s="1"/>
  <c r="I771" i="3"/>
  <c r="J771" i="3"/>
  <c r="M771" i="3"/>
  <c r="N771" i="3" s="1"/>
  <c r="F771" i="3"/>
  <c r="L771" i="3" l="1"/>
  <c r="V771" i="3"/>
  <c r="W771" i="3" s="1"/>
  <c r="A772" i="3"/>
  <c r="B772" i="3" s="1"/>
  <c r="AC772" i="3" l="1"/>
  <c r="P772" i="3"/>
  <c r="Q772" i="3" s="1"/>
  <c r="R772" i="3" s="1"/>
  <c r="S772" i="3" s="1"/>
  <c r="Z772" i="3"/>
  <c r="AA772" i="3"/>
  <c r="AD772" i="3"/>
  <c r="U771" i="3"/>
  <c r="Y770" i="3"/>
  <c r="T772" i="3" l="1"/>
  <c r="D772" i="3" s="1"/>
  <c r="G772" i="3" l="1"/>
  <c r="AG772" i="3"/>
  <c r="AH772" i="3"/>
  <c r="E772" i="3"/>
  <c r="H772" i="3" s="1"/>
  <c r="K772" i="3" l="1"/>
  <c r="AE772" i="3" s="1"/>
  <c r="I772" i="3"/>
  <c r="J772" i="3"/>
  <c r="M772" i="3"/>
  <c r="N772" i="3" s="1"/>
  <c r="F772" i="3"/>
  <c r="V772" i="3" l="1"/>
  <c r="W772" i="3" s="1"/>
  <c r="A773" i="3"/>
  <c r="B773" i="3" s="1"/>
  <c r="L772" i="3"/>
  <c r="U772" i="3" l="1"/>
  <c r="Y771" i="3"/>
  <c r="Z773" i="3"/>
  <c r="AD773" i="3"/>
  <c r="AC773" i="3"/>
  <c r="AA773" i="3"/>
  <c r="P773" i="3"/>
  <c r="Q773" i="3" s="1"/>
  <c r="R773" i="3" s="1"/>
  <c r="S773" i="3" s="1"/>
  <c r="T773" i="3" l="1"/>
  <c r="E773" i="3" s="1"/>
  <c r="H773" i="3" s="1"/>
  <c r="AH773" i="3" l="1"/>
  <c r="AG773" i="3"/>
  <c r="K773" i="3"/>
  <c r="AE773" i="3" s="1"/>
  <c r="D773" i="3"/>
  <c r="F773" i="3" l="1"/>
  <c r="G773" i="3"/>
  <c r="V773" i="3"/>
  <c r="A774" i="3"/>
  <c r="B774" i="3" s="1"/>
  <c r="AC774" i="3" l="1"/>
  <c r="P774" i="3"/>
  <c r="Q774" i="3" s="1"/>
  <c r="R774" i="3" s="1"/>
  <c r="S774" i="3" s="1"/>
  <c r="AA774" i="3"/>
  <c r="Z774" i="3"/>
  <c r="I773" i="3"/>
  <c r="W773" i="3" s="1"/>
  <c r="J773" i="3"/>
  <c r="M773" i="3"/>
  <c r="N773" i="3" s="1"/>
  <c r="L773" i="3" l="1"/>
  <c r="T774" i="3"/>
  <c r="AG774" i="3" l="1"/>
  <c r="U773" i="3"/>
  <c r="E774" i="3" s="1"/>
  <c r="H774" i="3" s="1"/>
  <c r="AH774" i="3"/>
  <c r="Y772" i="3"/>
  <c r="D774" i="3" l="1"/>
  <c r="F774" i="3" s="1"/>
  <c r="K774" i="3"/>
  <c r="AE774" i="3" s="1"/>
  <c r="G774" i="3" l="1"/>
  <c r="I774" i="3" s="1"/>
  <c r="V774" i="3"/>
  <c r="A775" i="3"/>
  <c r="B775" i="3" s="1"/>
  <c r="M774" i="3" l="1"/>
  <c r="N774" i="3" s="1"/>
  <c r="J774" i="3"/>
  <c r="AD774" i="3" s="1"/>
  <c r="AC775" i="3"/>
  <c r="Z775" i="3"/>
  <c r="AD775" i="3"/>
  <c r="AA775" i="3"/>
  <c r="P775" i="3"/>
  <c r="Q775" i="3" s="1"/>
  <c r="R775" i="3" s="1"/>
  <c r="S775" i="3" s="1"/>
  <c r="W774" i="3"/>
  <c r="L774" i="3" l="1"/>
  <c r="U774" i="3" s="1"/>
  <c r="T775" i="3"/>
  <c r="Y773" i="3" l="1"/>
  <c r="AG775" i="3"/>
  <c r="D775" i="3"/>
  <c r="G775" i="3" s="1"/>
  <c r="E775" i="3"/>
  <c r="H775" i="3" s="1"/>
  <c r="AH775" i="3"/>
  <c r="K775" i="3" l="1"/>
  <c r="AE775" i="3" s="1"/>
  <c r="I775" i="3"/>
  <c r="J775" i="3"/>
  <c r="M775" i="3"/>
  <c r="N775" i="3" s="1"/>
  <c r="F775" i="3"/>
  <c r="V775" i="3" l="1"/>
  <c r="W775" i="3" s="1"/>
  <c r="A776" i="3"/>
  <c r="B776" i="3" s="1"/>
  <c r="L775" i="3"/>
  <c r="U775" i="3" l="1"/>
  <c r="Y774" i="3"/>
  <c r="AD776" i="3"/>
  <c r="Z776" i="3"/>
  <c r="P776" i="3"/>
  <c r="Q776" i="3" s="1"/>
  <c r="R776" i="3" s="1"/>
  <c r="S776" i="3" s="1"/>
  <c r="AC776" i="3"/>
  <c r="AA776" i="3"/>
  <c r="T776" i="3" l="1"/>
  <c r="D776" i="3" s="1"/>
  <c r="E776" i="3" l="1"/>
  <c r="H776" i="3" s="1"/>
  <c r="K776" i="3" s="1"/>
  <c r="AE776" i="3" s="1"/>
  <c r="AG776" i="3"/>
  <c r="AH776" i="3"/>
  <c r="G776" i="3"/>
  <c r="F776" i="3" l="1"/>
  <c r="V776" i="3"/>
  <c r="A777" i="3"/>
  <c r="B777" i="3" s="1"/>
  <c r="I776" i="3"/>
  <c r="J776" i="3"/>
  <c r="M776" i="3"/>
  <c r="N776" i="3" s="1"/>
  <c r="AD777" i="3" l="1"/>
  <c r="AC777" i="3"/>
  <c r="Z777" i="3"/>
  <c r="AA777" i="3"/>
  <c r="P777" i="3"/>
  <c r="Q777" i="3" s="1"/>
  <c r="R777" i="3" s="1"/>
  <c r="S777" i="3" s="1"/>
  <c r="L776" i="3"/>
  <c r="W776" i="3"/>
  <c r="T777" i="3" l="1"/>
  <c r="AH777" i="3" s="1"/>
  <c r="U776" i="3"/>
  <c r="Y775" i="3"/>
  <c r="E777" i="3" l="1"/>
  <c r="H777" i="3" s="1"/>
  <c r="K777" i="3" s="1"/>
  <c r="AE777" i="3" s="1"/>
  <c r="D777" i="3"/>
  <c r="G777" i="3" s="1"/>
  <c r="AG777" i="3"/>
  <c r="F777" i="3" l="1"/>
  <c r="I777" i="3"/>
  <c r="J777" i="3"/>
  <c r="M777" i="3"/>
  <c r="N777" i="3" s="1"/>
  <c r="V777" i="3"/>
  <c r="A778" i="3"/>
  <c r="B778" i="3" s="1"/>
  <c r="W777" i="3" l="1"/>
  <c r="P778" i="3"/>
  <c r="Q778" i="3" s="1"/>
  <c r="R778" i="3" s="1"/>
  <c r="S778" i="3" s="1"/>
  <c r="AC778" i="3"/>
  <c r="AA778" i="3"/>
  <c r="Z778" i="3"/>
  <c r="AD778" i="3"/>
  <c r="L777" i="3"/>
  <c r="U777" i="3" l="1"/>
  <c r="Y776" i="3"/>
  <c r="T778" i="3"/>
  <c r="E778" i="3" l="1"/>
  <c r="H778" i="3" s="1"/>
  <c r="K778" i="3" s="1"/>
  <c r="AE778" i="3" s="1"/>
  <c r="AH778" i="3"/>
  <c r="D778" i="3"/>
  <c r="AG778" i="3"/>
  <c r="F778" i="3" l="1"/>
  <c r="G778" i="3"/>
  <c r="V778" i="3"/>
  <c r="A779" i="3"/>
  <c r="B779" i="3" s="1"/>
  <c r="AD779" i="3" l="1"/>
  <c r="AC779" i="3"/>
  <c r="Z779" i="3"/>
  <c r="AA779" i="3"/>
  <c r="P779" i="3"/>
  <c r="Q779" i="3" s="1"/>
  <c r="R779" i="3" s="1"/>
  <c r="S779" i="3" s="1"/>
  <c r="I778" i="3"/>
  <c r="W778" i="3" s="1"/>
  <c r="J778" i="3"/>
  <c r="M778" i="3"/>
  <c r="N778" i="3" s="1"/>
  <c r="T779" i="3" l="1"/>
  <c r="L778" i="3"/>
  <c r="AG779" i="3" l="1"/>
  <c r="AH779" i="3"/>
  <c r="U778" i="3"/>
  <c r="D779" i="3" s="1"/>
  <c r="Y777" i="3"/>
  <c r="G779" i="3" l="1"/>
  <c r="E779" i="3"/>
  <c r="H779" i="3" s="1"/>
  <c r="K779" i="3" l="1"/>
  <c r="AE779" i="3" s="1"/>
  <c r="I779" i="3"/>
  <c r="J779" i="3"/>
  <c r="M779" i="3"/>
  <c r="N779" i="3" s="1"/>
  <c r="F779" i="3"/>
  <c r="L779" i="3" l="1"/>
  <c r="V779" i="3"/>
  <c r="W779" i="3" s="1"/>
  <c r="A780" i="3"/>
  <c r="B780" i="3" s="1"/>
  <c r="P780" i="3" l="1"/>
  <c r="Q780" i="3" s="1"/>
  <c r="R780" i="3" s="1"/>
  <c r="S780" i="3" s="1"/>
  <c r="AC780" i="3"/>
  <c r="AD780" i="3"/>
  <c r="AA780" i="3"/>
  <c r="Z780" i="3"/>
  <c r="U779" i="3"/>
  <c r="Y778" i="3"/>
  <c r="T780" i="3" l="1"/>
  <c r="D780" i="3" l="1"/>
  <c r="AH780" i="3"/>
  <c r="AG780" i="3"/>
  <c r="E780" i="3"/>
  <c r="H780" i="3" s="1"/>
  <c r="K780" i="3" l="1"/>
  <c r="AE780" i="3" s="1"/>
  <c r="F780" i="3"/>
  <c r="G780" i="3"/>
  <c r="I780" i="3" l="1"/>
  <c r="J780" i="3"/>
  <c r="M780" i="3"/>
  <c r="N780" i="3" s="1"/>
  <c r="V780" i="3"/>
  <c r="A781" i="3"/>
  <c r="B781" i="3" s="1"/>
  <c r="W780" i="3" l="1"/>
  <c r="AD781" i="3"/>
  <c r="Z781" i="3"/>
  <c r="AA781" i="3"/>
  <c r="AC781" i="3"/>
  <c r="P781" i="3"/>
  <c r="Q781" i="3" s="1"/>
  <c r="R781" i="3" s="1"/>
  <c r="S781" i="3" s="1"/>
  <c r="L780" i="3"/>
  <c r="T781" i="3" l="1"/>
  <c r="AH781" i="3" s="1"/>
  <c r="U780" i="3"/>
  <c r="Y779" i="3"/>
  <c r="E781" i="3" l="1"/>
  <c r="H781" i="3" s="1"/>
  <c r="K781" i="3" s="1"/>
  <c r="AE781" i="3" s="1"/>
  <c r="AG781" i="3"/>
  <c r="D781" i="3"/>
  <c r="F781" i="3" l="1"/>
  <c r="G781" i="3"/>
  <c r="V781" i="3"/>
  <c r="A782" i="3"/>
  <c r="B782" i="3" s="1"/>
  <c r="AC782" i="3" l="1"/>
  <c r="AD782" i="3"/>
  <c r="Z782" i="3"/>
  <c r="AA782" i="3"/>
  <c r="P782" i="3"/>
  <c r="Q782" i="3" s="1"/>
  <c r="R782" i="3" s="1"/>
  <c r="S782" i="3" s="1"/>
  <c r="I781" i="3"/>
  <c r="W781" i="3" s="1"/>
  <c r="J781" i="3"/>
  <c r="M781" i="3"/>
  <c r="N781" i="3" s="1"/>
  <c r="T782" i="3" l="1"/>
  <c r="L781" i="3"/>
  <c r="AH782" i="3" l="1"/>
  <c r="AG782" i="3"/>
  <c r="U781" i="3"/>
  <c r="E782" i="3" s="1"/>
  <c r="H782" i="3" s="1"/>
  <c r="Y780" i="3"/>
  <c r="D782" i="3" l="1"/>
  <c r="F782" i="3" s="1"/>
  <c r="K782" i="3"/>
  <c r="AE782" i="3" s="1"/>
  <c r="G782" i="3" l="1"/>
  <c r="I782" i="3" s="1"/>
  <c r="V782" i="3"/>
  <c r="A783" i="3"/>
  <c r="B783" i="3" s="1"/>
  <c r="M782" i="3" l="1"/>
  <c r="N782" i="3" s="1"/>
  <c r="J782" i="3"/>
  <c r="L782" i="3" s="1"/>
  <c r="W782" i="3"/>
  <c r="Z783" i="3"/>
  <c r="P783" i="3"/>
  <c r="Q783" i="3" s="1"/>
  <c r="R783" i="3" s="1"/>
  <c r="S783" i="3" s="1"/>
  <c r="AD783" i="3"/>
  <c r="AA783" i="3"/>
  <c r="AC783" i="3"/>
  <c r="T783" i="3" l="1"/>
  <c r="AH783" i="3" s="1"/>
  <c r="U782" i="3"/>
  <c r="Y781" i="3"/>
  <c r="E783" i="3" l="1"/>
  <c r="H783" i="3" s="1"/>
  <c r="K783" i="3" s="1"/>
  <c r="AE783" i="3" s="1"/>
  <c r="D783" i="3"/>
  <c r="AG783" i="3"/>
  <c r="F783" i="3" l="1"/>
  <c r="G783" i="3"/>
  <c r="I783" i="3" s="1"/>
  <c r="V783" i="3"/>
  <c r="A784" i="3"/>
  <c r="B784" i="3" s="1"/>
  <c r="M783" i="3" l="1"/>
  <c r="N783" i="3" s="1"/>
  <c r="J783" i="3"/>
  <c r="L783" i="3" s="1"/>
  <c r="W783" i="3"/>
  <c r="P784" i="3"/>
  <c r="Q784" i="3" s="1"/>
  <c r="R784" i="3" s="1"/>
  <c r="S784" i="3" s="1"/>
  <c r="AC784" i="3"/>
  <c r="AA784" i="3"/>
  <c r="Z784" i="3"/>
  <c r="U783" i="3" l="1"/>
  <c r="Y782" i="3"/>
  <c r="T784" i="3"/>
  <c r="E784" i="3" l="1"/>
  <c r="H784" i="3" s="1"/>
  <c r="K784" i="3" s="1"/>
  <c r="AE784" i="3" s="1"/>
  <c r="AH784" i="3"/>
  <c r="AG784" i="3"/>
  <c r="D784" i="3"/>
  <c r="F784" i="3" l="1"/>
  <c r="G784" i="3"/>
  <c r="J784" i="3" s="1"/>
  <c r="AD784" i="3" s="1"/>
  <c r="V784" i="3"/>
  <c r="A785" i="3"/>
  <c r="B785" i="3" s="1"/>
  <c r="M784" i="3" l="1"/>
  <c r="N784" i="3" s="1"/>
  <c r="I784" i="3"/>
  <c r="W784" i="3" s="1"/>
  <c r="AC785" i="3"/>
  <c r="P785" i="3"/>
  <c r="Q785" i="3" s="1"/>
  <c r="R785" i="3" s="1"/>
  <c r="S785" i="3" s="1"/>
  <c r="AD785" i="3"/>
  <c r="Z785" i="3"/>
  <c r="AA785" i="3"/>
  <c r="L784" i="3"/>
  <c r="T785" i="3" l="1"/>
  <c r="AG785" i="3" s="1"/>
  <c r="U784" i="3"/>
  <c r="Y783" i="3"/>
  <c r="AH785" i="3" l="1"/>
  <c r="D785" i="3"/>
  <c r="G785" i="3" s="1"/>
  <c r="E785" i="3"/>
  <c r="H785" i="3" s="1"/>
  <c r="K785" i="3" s="1"/>
  <c r="AE785" i="3" s="1"/>
  <c r="F785" i="3" l="1"/>
  <c r="I785" i="3"/>
  <c r="J785" i="3"/>
  <c r="M785" i="3"/>
  <c r="N785" i="3" s="1"/>
  <c r="V785" i="3"/>
  <c r="A786" i="3"/>
  <c r="B786" i="3" s="1"/>
  <c r="W785" i="3" l="1"/>
  <c r="P786" i="3"/>
  <c r="Q786" i="3" s="1"/>
  <c r="R786" i="3" s="1"/>
  <c r="S786" i="3" s="1"/>
  <c r="Z786" i="3"/>
  <c r="AA786" i="3"/>
  <c r="AC786" i="3"/>
  <c r="AD786" i="3"/>
  <c r="L785" i="3"/>
  <c r="U785" i="3" l="1"/>
  <c r="Y784" i="3"/>
  <c r="T786" i="3"/>
  <c r="AG786" i="3" s="1"/>
  <c r="D786" i="3" l="1"/>
  <c r="G786" i="3" s="1"/>
  <c r="AH786" i="3"/>
  <c r="E786" i="3"/>
  <c r="H786" i="3" s="1"/>
  <c r="K786" i="3" s="1"/>
  <c r="AE786" i="3" s="1"/>
  <c r="F786" i="3" l="1"/>
  <c r="I786" i="3"/>
  <c r="J786" i="3"/>
  <c r="M786" i="3"/>
  <c r="N786" i="3" s="1"/>
  <c r="V786" i="3"/>
  <c r="W786" i="3" s="1"/>
  <c r="A787" i="3"/>
  <c r="B787" i="3" s="1"/>
  <c r="P787" i="3" l="1"/>
  <c r="Q787" i="3" s="1"/>
  <c r="R787" i="3" s="1"/>
  <c r="S787" i="3" s="1"/>
  <c r="AC787" i="3"/>
  <c r="AD787" i="3"/>
  <c r="Z787" i="3"/>
  <c r="AA787" i="3"/>
  <c r="L786" i="3"/>
  <c r="T787" i="3" l="1"/>
  <c r="AH787" i="3" s="1"/>
  <c r="U786" i="3"/>
  <c r="Y785" i="3"/>
  <c r="E787" i="3" l="1"/>
  <c r="H787" i="3" s="1"/>
  <c r="K787" i="3" s="1"/>
  <c r="AE787" i="3" s="1"/>
  <c r="AG787" i="3"/>
  <c r="D787" i="3"/>
  <c r="F787" i="3" l="1"/>
  <c r="G787" i="3"/>
  <c r="V787" i="3"/>
  <c r="A788" i="3"/>
  <c r="B788" i="3" s="1"/>
  <c r="I787" i="3" l="1"/>
  <c r="W787" i="3" s="1"/>
  <c r="J787" i="3"/>
  <c r="M787" i="3"/>
  <c r="N787" i="3" s="1"/>
  <c r="Z788" i="3"/>
  <c r="AC788" i="3"/>
  <c r="AD788" i="3"/>
  <c r="AA788" i="3"/>
  <c r="P788" i="3"/>
  <c r="Q788" i="3" s="1"/>
  <c r="R788" i="3" s="1"/>
  <c r="S788" i="3" s="1"/>
  <c r="T788" i="3" l="1"/>
  <c r="L787" i="3"/>
  <c r="U787" i="3" l="1"/>
  <c r="D788" i="3" s="1"/>
  <c r="AG788" i="3"/>
  <c r="AH788" i="3"/>
  <c r="Y786" i="3"/>
  <c r="E788" i="3" l="1"/>
  <c r="H788" i="3" s="1"/>
  <c r="K788" i="3" s="1"/>
  <c r="AE788" i="3" s="1"/>
  <c r="G788" i="3"/>
  <c r="F788" i="3" l="1"/>
  <c r="V788" i="3"/>
  <c r="A789" i="3"/>
  <c r="B789" i="3" s="1"/>
  <c r="I788" i="3"/>
  <c r="J788" i="3"/>
  <c r="M788" i="3"/>
  <c r="N788" i="3" s="1"/>
  <c r="L788" i="3" l="1"/>
  <c r="AC789" i="3"/>
  <c r="AD789" i="3"/>
  <c r="AA789" i="3"/>
  <c r="P789" i="3"/>
  <c r="Q789" i="3" s="1"/>
  <c r="R789" i="3" s="1"/>
  <c r="S789" i="3" s="1"/>
  <c r="Z789" i="3"/>
  <c r="W788" i="3"/>
  <c r="U788" i="3" l="1"/>
  <c r="Y787" i="3"/>
  <c r="T789" i="3"/>
  <c r="E789" i="3" l="1"/>
  <c r="H789" i="3" s="1"/>
  <c r="K789" i="3" s="1"/>
  <c r="AE789" i="3" s="1"/>
  <c r="D789" i="3"/>
  <c r="G789" i="3" s="1"/>
  <c r="AG789" i="3"/>
  <c r="AH789" i="3"/>
  <c r="F789" i="3" l="1"/>
  <c r="I789" i="3"/>
  <c r="J789" i="3"/>
  <c r="M789" i="3"/>
  <c r="N789" i="3" s="1"/>
  <c r="V789" i="3"/>
  <c r="A790" i="3"/>
  <c r="B790" i="3" s="1"/>
  <c r="W789" i="3" l="1"/>
  <c r="AD790" i="3"/>
  <c r="P790" i="3"/>
  <c r="Q790" i="3" s="1"/>
  <c r="R790" i="3" s="1"/>
  <c r="S790" i="3" s="1"/>
  <c r="AC790" i="3"/>
  <c r="Z790" i="3"/>
  <c r="AA790" i="3"/>
  <c r="L789" i="3"/>
  <c r="T790" i="3" l="1"/>
  <c r="AH790" i="3" s="1"/>
  <c r="U789" i="3"/>
  <c r="Y788" i="3"/>
  <c r="D790" i="3" l="1"/>
  <c r="G790" i="3" s="1"/>
  <c r="E790" i="3"/>
  <c r="H790" i="3" s="1"/>
  <c r="K790" i="3" s="1"/>
  <c r="AE790" i="3" s="1"/>
  <c r="AG790" i="3"/>
  <c r="F790" i="3" l="1"/>
  <c r="I790" i="3"/>
  <c r="J790" i="3"/>
  <c r="M790" i="3"/>
  <c r="N790" i="3" s="1"/>
  <c r="V790" i="3"/>
  <c r="A791" i="3"/>
  <c r="B791" i="3" s="1"/>
  <c r="W790" i="3" l="1"/>
  <c r="Z791" i="3"/>
  <c r="AA791" i="3"/>
  <c r="P791" i="3"/>
  <c r="Q791" i="3" s="1"/>
  <c r="R791" i="3" s="1"/>
  <c r="S791" i="3" s="1"/>
  <c r="AD791" i="3"/>
  <c r="AC791" i="3"/>
  <c r="L790" i="3"/>
  <c r="U790" i="3" l="1"/>
  <c r="Y789" i="3"/>
  <c r="T791" i="3"/>
  <c r="AG791" i="3" s="1"/>
  <c r="E791" i="3" l="1"/>
  <c r="H791" i="3" s="1"/>
  <c r="K791" i="3" s="1"/>
  <c r="AE791" i="3" s="1"/>
  <c r="D791" i="3"/>
  <c r="G791" i="3" s="1"/>
  <c r="AH791" i="3"/>
  <c r="F791" i="3" l="1"/>
  <c r="V791" i="3"/>
  <c r="A792" i="3"/>
  <c r="B792" i="3" s="1"/>
  <c r="I791" i="3"/>
  <c r="J791" i="3"/>
  <c r="M791" i="3"/>
  <c r="N791" i="3" s="1"/>
  <c r="L791" i="3" l="1"/>
  <c r="AC792" i="3"/>
  <c r="AD792" i="3"/>
  <c r="Z792" i="3"/>
  <c r="AA792" i="3"/>
  <c r="P792" i="3"/>
  <c r="Q792" i="3" s="1"/>
  <c r="R792" i="3" s="1"/>
  <c r="S792" i="3" s="1"/>
  <c r="W791" i="3"/>
  <c r="T792" i="3" l="1"/>
  <c r="AG792" i="3" s="1"/>
  <c r="U791" i="3"/>
  <c r="Y790" i="3"/>
  <c r="E792" i="3" l="1"/>
  <c r="H792" i="3" s="1"/>
  <c r="K792" i="3" s="1"/>
  <c r="AE792" i="3" s="1"/>
  <c r="AH792" i="3"/>
  <c r="D792" i="3"/>
  <c r="G792" i="3" s="1"/>
  <c r="F792" i="3" l="1"/>
  <c r="V792" i="3"/>
  <c r="A793" i="3"/>
  <c r="B793" i="3" s="1"/>
  <c r="I792" i="3"/>
  <c r="J792" i="3"/>
  <c r="M792" i="3"/>
  <c r="N792" i="3" s="1"/>
  <c r="AA793" i="3" l="1"/>
  <c r="AC793" i="3"/>
  <c r="Z793" i="3"/>
  <c r="P793" i="3"/>
  <c r="Q793" i="3" s="1"/>
  <c r="R793" i="3" s="1"/>
  <c r="S793" i="3" s="1"/>
  <c r="AD793" i="3"/>
  <c r="L792" i="3"/>
  <c r="W792" i="3"/>
  <c r="T793" i="3" l="1"/>
  <c r="AH793" i="3" s="1"/>
  <c r="U792" i="3"/>
  <c r="Y791" i="3"/>
  <c r="E793" i="3" l="1"/>
  <c r="H793" i="3" s="1"/>
  <c r="K793" i="3" s="1"/>
  <c r="AE793" i="3" s="1"/>
  <c r="AG793" i="3"/>
  <c r="D793" i="3"/>
  <c r="G793" i="3" s="1"/>
  <c r="F793" i="3" l="1"/>
  <c r="I793" i="3"/>
  <c r="J793" i="3"/>
  <c r="M793" i="3"/>
  <c r="N793" i="3" s="1"/>
  <c r="V793" i="3"/>
  <c r="A794" i="3"/>
  <c r="B794" i="3" s="1"/>
  <c r="W793" i="3" l="1"/>
  <c r="P794" i="3"/>
  <c r="Q794" i="3" s="1"/>
  <c r="R794" i="3" s="1"/>
  <c r="S794" i="3" s="1"/>
  <c r="AA794" i="3"/>
  <c r="AC794" i="3"/>
  <c r="Z794" i="3"/>
  <c r="L793" i="3"/>
  <c r="U793" i="3" l="1"/>
  <c r="Y792" i="3"/>
  <c r="T794" i="3"/>
  <c r="AH794" i="3" s="1"/>
  <c r="AG794" i="3" l="1"/>
  <c r="E794" i="3"/>
  <c r="H794" i="3" s="1"/>
  <c r="D794" i="3"/>
  <c r="F794" i="3" l="1"/>
  <c r="G794" i="3"/>
  <c r="K794" i="3"/>
  <c r="AE794" i="3" s="1"/>
  <c r="V794" i="3" l="1"/>
  <c r="A795" i="3"/>
  <c r="B795" i="3" s="1"/>
  <c r="I794" i="3"/>
  <c r="J794" i="3"/>
  <c r="AD794" i="3" s="1"/>
  <c r="M794" i="3"/>
  <c r="N794" i="3" s="1"/>
  <c r="L794" i="3" l="1"/>
  <c r="W794" i="3"/>
  <c r="AD795" i="3"/>
  <c r="Z795" i="3"/>
  <c r="AA795" i="3"/>
  <c r="AC795" i="3"/>
  <c r="P795" i="3"/>
  <c r="Q795" i="3" s="1"/>
  <c r="R795" i="3" s="1"/>
  <c r="S795" i="3" s="1"/>
  <c r="T795" i="3" l="1"/>
  <c r="AH795" i="3" s="1"/>
  <c r="U794" i="3"/>
  <c r="Y793" i="3"/>
  <c r="E795" i="3" l="1"/>
  <c r="H795" i="3" s="1"/>
  <c r="K795" i="3" s="1"/>
  <c r="AE795" i="3" s="1"/>
  <c r="AG795" i="3"/>
  <c r="D795" i="3"/>
  <c r="F795" i="3" l="1"/>
  <c r="G795" i="3"/>
  <c r="I795" i="3" s="1"/>
  <c r="V795" i="3"/>
  <c r="A796" i="3"/>
  <c r="B796" i="3" s="1"/>
  <c r="M795" i="3" l="1"/>
  <c r="N795" i="3" s="1"/>
  <c r="J795" i="3"/>
  <c r="L795" i="3" s="1"/>
  <c r="AD796" i="3"/>
  <c r="AA796" i="3"/>
  <c r="AC796" i="3"/>
  <c r="Z796" i="3"/>
  <c r="P796" i="3"/>
  <c r="Q796" i="3" s="1"/>
  <c r="R796" i="3" s="1"/>
  <c r="S796" i="3" s="1"/>
  <c r="W795" i="3"/>
  <c r="T796" i="3" l="1"/>
  <c r="AG796" i="3" s="1"/>
  <c r="U795" i="3"/>
  <c r="Y794" i="3"/>
  <c r="AH796" i="3" l="1"/>
  <c r="E796" i="3"/>
  <c r="H796" i="3" s="1"/>
  <c r="D796" i="3"/>
  <c r="F796" i="3" l="1"/>
  <c r="G796" i="3"/>
  <c r="K796" i="3"/>
  <c r="AE796" i="3" s="1"/>
  <c r="V796" i="3" l="1"/>
  <c r="A797" i="3"/>
  <c r="B797" i="3" s="1"/>
  <c r="I796" i="3"/>
  <c r="J796" i="3"/>
  <c r="M796" i="3"/>
  <c r="N796" i="3" s="1"/>
  <c r="P797" i="3" l="1"/>
  <c r="Q797" i="3" s="1"/>
  <c r="R797" i="3" s="1"/>
  <c r="S797" i="3" s="1"/>
  <c r="Z797" i="3"/>
  <c r="AD797" i="3"/>
  <c r="AA797" i="3"/>
  <c r="AC797" i="3"/>
  <c r="L796" i="3"/>
  <c r="W796" i="3"/>
  <c r="U796" i="3" l="1"/>
  <c r="Y795" i="3"/>
  <c r="T797" i="3"/>
  <c r="E797" i="3" l="1"/>
  <c r="H797" i="3" s="1"/>
  <c r="K797" i="3" s="1"/>
  <c r="AE797" i="3" s="1"/>
  <c r="AG797" i="3"/>
  <c r="D797" i="3"/>
  <c r="AH797" i="3"/>
  <c r="F797" i="3" l="1"/>
  <c r="G797" i="3"/>
  <c r="V797" i="3"/>
  <c r="A798" i="3"/>
  <c r="B798" i="3" s="1"/>
  <c r="AC798" i="3" l="1"/>
  <c r="P798" i="3"/>
  <c r="Q798" i="3" s="1"/>
  <c r="R798" i="3" s="1"/>
  <c r="S798" i="3" s="1"/>
  <c r="Z798" i="3"/>
  <c r="AD798" i="3"/>
  <c r="AA798" i="3"/>
  <c r="I797" i="3"/>
  <c r="W797" i="3" s="1"/>
  <c r="J797" i="3"/>
  <c r="M797" i="3"/>
  <c r="N797" i="3" s="1"/>
  <c r="L797" i="3" l="1"/>
  <c r="T798" i="3"/>
  <c r="AH798" i="3" l="1"/>
  <c r="AG798" i="3"/>
  <c r="U797" i="3"/>
  <c r="E798" i="3" s="1"/>
  <c r="H798" i="3" s="1"/>
  <c r="Y796" i="3"/>
  <c r="D798" i="3" l="1"/>
  <c r="G798" i="3" s="1"/>
  <c r="K798" i="3"/>
  <c r="AE798" i="3" s="1"/>
  <c r="F798" i="3" l="1"/>
  <c r="I798" i="3"/>
  <c r="J798" i="3"/>
  <c r="M798" i="3"/>
  <c r="N798" i="3" s="1"/>
  <c r="V798" i="3"/>
  <c r="A799" i="3"/>
  <c r="B799" i="3" s="1"/>
  <c r="W798" i="3" l="1"/>
  <c r="AA799" i="3"/>
  <c r="AC799" i="3"/>
  <c r="AD799" i="3"/>
  <c r="Z799" i="3"/>
  <c r="P799" i="3"/>
  <c r="Q799" i="3" s="1"/>
  <c r="R799" i="3" s="1"/>
  <c r="S799" i="3" s="1"/>
  <c r="L798" i="3"/>
  <c r="T799" i="3" l="1"/>
  <c r="AH799" i="3" s="1"/>
  <c r="U798" i="3"/>
  <c r="Y797" i="3"/>
  <c r="E799" i="3" l="1"/>
  <c r="H799" i="3" s="1"/>
  <c r="K799" i="3" s="1"/>
  <c r="AE799" i="3" s="1"/>
  <c r="AG799" i="3"/>
  <c r="D799" i="3"/>
  <c r="F799" i="3" l="1"/>
  <c r="G799" i="3"/>
  <c r="I799" i="3" s="1"/>
  <c r="V799" i="3"/>
  <c r="A800" i="3"/>
  <c r="B800" i="3" s="1"/>
  <c r="M799" i="3" l="1"/>
  <c r="N799" i="3" s="1"/>
  <c r="J799" i="3"/>
  <c r="L799" i="3" s="1"/>
  <c r="AC800" i="3"/>
  <c r="Z800" i="3"/>
  <c r="AA800" i="3"/>
  <c r="AD800" i="3"/>
  <c r="P800" i="3"/>
  <c r="Q800" i="3" s="1"/>
  <c r="R800" i="3" s="1"/>
  <c r="S800" i="3" s="1"/>
  <c r="W799" i="3"/>
  <c r="T800" i="3" l="1"/>
  <c r="AG800" i="3" s="1"/>
  <c r="U799" i="3"/>
  <c r="Y798" i="3"/>
  <c r="E800" i="3" l="1"/>
  <c r="H800" i="3" s="1"/>
  <c r="K800" i="3" s="1"/>
  <c r="AE800" i="3" s="1"/>
  <c r="AH800" i="3"/>
  <c r="D800" i="3"/>
  <c r="F800" i="3" l="1"/>
  <c r="G800" i="3"/>
  <c r="V800" i="3"/>
  <c r="A801" i="3"/>
  <c r="B801" i="3" s="1"/>
  <c r="Z801" i="3" l="1"/>
  <c r="AD801" i="3"/>
  <c r="AC801" i="3"/>
  <c r="AA801" i="3"/>
  <c r="P801" i="3"/>
  <c r="Q801" i="3" s="1"/>
  <c r="R801" i="3" s="1"/>
  <c r="S801" i="3" s="1"/>
  <c r="I800" i="3"/>
  <c r="W800" i="3" s="1"/>
  <c r="J800" i="3"/>
  <c r="M800" i="3"/>
  <c r="N800" i="3" s="1"/>
  <c r="T801" i="3" l="1"/>
  <c r="L800" i="3"/>
  <c r="AG801" i="3" l="1"/>
  <c r="AH801" i="3"/>
  <c r="U800" i="3"/>
  <c r="D801" i="3" s="1"/>
  <c r="Y799" i="3"/>
  <c r="G801" i="3" l="1"/>
  <c r="E801" i="3"/>
  <c r="H801" i="3" s="1"/>
  <c r="K801" i="3" l="1"/>
  <c r="AE801" i="3" s="1"/>
  <c r="I801" i="3"/>
  <c r="J801" i="3"/>
  <c r="M801" i="3"/>
  <c r="N801" i="3" s="1"/>
  <c r="F801" i="3"/>
  <c r="L801" i="3" l="1"/>
  <c r="V801" i="3"/>
  <c r="W801" i="3" s="1"/>
  <c r="A802" i="3"/>
  <c r="B802" i="3" s="1"/>
  <c r="AC802" i="3" l="1"/>
  <c r="Z802" i="3"/>
  <c r="P802" i="3"/>
  <c r="Q802" i="3" s="1"/>
  <c r="R802" i="3" s="1"/>
  <c r="S802" i="3" s="1"/>
  <c r="AD802" i="3"/>
  <c r="AA802" i="3"/>
  <c r="U801" i="3"/>
  <c r="Y800" i="3"/>
  <c r="T802" i="3" l="1"/>
  <c r="AG802" i="3" s="1"/>
  <c r="D802" i="3" l="1"/>
  <c r="G802" i="3" s="1"/>
  <c r="E802" i="3"/>
  <c r="H802" i="3" s="1"/>
  <c r="AH802" i="3"/>
  <c r="K802" i="3" l="1"/>
  <c r="AE802" i="3" s="1"/>
  <c r="I802" i="3"/>
  <c r="J802" i="3"/>
  <c r="M802" i="3"/>
  <c r="N802" i="3" s="1"/>
  <c r="F802" i="3"/>
  <c r="L802" i="3" l="1"/>
  <c r="V802" i="3"/>
  <c r="W802" i="3" s="1"/>
  <c r="A803" i="3"/>
  <c r="B803" i="3" s="1"/>
  <c r="AC803" i="3" l="1"/>
  <c r="Z803" i="3"/>
  <c r="AD803" i="3"/>
  <c r="AA803" i="3"/>
  <c r="P803" i="3"/>
  <c r="Q803" i="3" s="1"/>
  <c r="R803" i="3" s="1"/>
  <c r="S803" i="3" s="1"/>
  <c r="U802" i="3"/>
  <c r="Y801" i="3"/>
  <c r="T803" i="3" l="1"/>
  <c r="AG803" i="3" s="1"/>
  <c r="D803" i="3" l="1"/>
  <c r="G803" i="3" s="1"/>
  <c r="E803" i="3"/>
  <c r="H803" i="3" s="1"/>
  <c r="K803" i="3" s="1"/>
  <c r="AE803" i="3" s="1"/>
  <c r="AH803" i="3"/>
  <c r="F803" i="3" l="1"/>
  <c r="V803" i="3"/>
  <c r="A804" i="3"/>
  <c r="B804" i="3" s="1"/>
  <c r="I803" i="3"/>
  <c r="J803" i="3"/>
  <c r="M803" i="3"/>
  <c r="N803" i="3" s="1"/>
  <c r="L803" i="3" l="1"/>
  <c r="P804" i="3"/>
  <c r="Q804" i="3" s="1"/>
  <c r="R804" i="3" s="1"/>
  <c r="S804" i="3" s="1"/>
  <c r="Z804" i="3"/>
  <c r="AA804" i="3"/>
  <c r="AC804" i="3"/>
  <c r="W803" i="3"/>
  <c r="U803" i="3" l="1"/>
  <c r="Y802" i="3"/>
  <c r="T804" i="3"/>
  <c r="AG804" i="3" s="1"/>
  <c r="D804" i="3" l="1"/>
  <c r="G804" i="3" s="1"/>
  <c r="AH804" i="3"/>
  <c r="E804" i="3"/>
  <c r="H804" i="3" s="1"/>
  <c r="K804" i="3" s="1"/>
  <c r="AE804" i="3" s="1"/>
  <c r="F804" i="3" l="1"/>
  <c r="V804" i="3"/>
  <c r="A805" i="3"/>
  <c r="B805" i="3" s="1"/>
  <c r="I804" i="3"/>
  <c r="J804" i="3"/>
  <c r="AD804" i="3" s="1"/>
  <c r="M804" i="3"/>
  <c r="N804" i="3" s="1"/>
  <c r="L804" i="3" l="1"/>
  <c r="P805" i="3"/>
  <c r="Q805" i="3" s="1"/>
  <c r="R805" i="3" s="1"/>
  <c r="S805" i="3" s="1"/>
  <c r="Z805" i="3"/>
  <c r="AC805" i="3"/>
  <c r="AA805" i="3"/>
  <c r="W804" i="3"/>
  <c r="U804" i="3" l="1"/>
  <c r="Y803" i="3"/>
  <c r="T805" i="3"/>
  <c r="E805" i="3" l="1"/>
  <c r="H805" i="3" s="1"/>
  <c r="K805" i="3" s="1"/>
  <c r="AE805" i="3" s="1"/>
  <c r="D805" i="3"/>
  <c r="G805" i="3" s="1"/>
  <c r="AH805" i="3"/>
  <c r="AG805" i="3"/>
  <c r="F805" i="3" l="1"/>
  <c r="I805" i="3"/>
  <c r="J805" i="3"/>
  <c r="AD805" i="3" s="1"/>
  <c r="M805" i="3"/>
  <c r="N805" i="3" s="1"/>
  <c r="V805" i="3"/>
  <c r="A806" i="3"/>
  <c r="B806" i="3" s="1"/>
  <c r="W805" i="3" l="1"/>
  <c r="Z806" i="3"/>
  <c r="AA806" i="3"/>
  <c r="AC806" i="3"/>
  <c r="P806" i="3"/>
  <c r="Q806" i="3" s="1"/>
  <c r="R806" i="3" s="1"/>
  <c r="S806" i="3" s="1"/>
  <c r="L805" i="3"/>
  <c r="T806" i="3" l="1"/>
  <c r="AG806" i="3" s="1"/>
  <c r="U805" i="3"/>
  <c r="Y804" i="3"/>
  <c r="D806" i="3" l="1"/>
  <c r="G806" i="3" s="1"/>
  <c r="AH806" i="3"/>
  <c r="E806" i="3"/>
  <c r="H806" i="3" s="1"/>
  <c r="K806" i="3" s="1"/>
  <c r="AE806" i="3" s="1"/>
  <c r="F806" i="3" l="1"/>
  <c r="I806" i="3"/>
  <c r="J806" i="3"/>
  <c r="AD806" i="3" s="1"/>
  <c r="M806" i="3"/>
  <c r="N806" i="3" s="1"/>
  <c r="V806" i="3"/>
  <c r="A807" i="3"/>
  <c r="B807" i="3" s="1"/>
  <c r="W806" i="3" l="1"/>
  <c r="AC807" i="3"/>
  <c r="Z807" i="3"/>
  <c r="AA807" i="3"/>
  <c r="P807" i="3"/>
  <c r="Q807" i="3" s="1"/>
  <c r="R807" i="3" s="1"/>
  <c r="S807" i="3" s="1"/>
  <c r="L806" i="3"/>
  <c r="T807" i="3" l="1"/>
  <c r="AG807" i="3" s="1"/>
  <c r="U806" i="3"/>
  <c r="Y805" i="3"/>
  <c r="E807" i="3" l="1"/>
  <c r="H807" i="3" s="1"/>
  <c r="K807" i="3" s="1"/>
  <c r="AE807" i="3" s="1"/>
  <c r="AH807" i="3"/>
  <c r="D807" i="3"/>
  <c r="F807" i="3" l="1"/>
  <c r="G807" i="3"/>
  <c r="I807" i="3" s="1"/>
  <c r="V807" i="3"/>
  <c r="A808" i="3"/>
  <c r="B808" i="3" s="1"/>
  <c r="M807" i="3" l="1"/>
  <c r="N807" i="3" s="1"/>
  <c r="J807" i="3"/>
  <c r="AA808" i="3"/>
  <c r="AC808" i="3"/>
  <c r="Z808" i="3"/>
  <c r="P808" i="3"/>
  <c r="Q808" i="3" s="1"/>
  <c r="R808" i="3" s="1"/>
  <c r="S808" i="3" s="1"/>
  <c r="W807" i="3"/>
  <c r="L807" i="3" l="1"/>
  <c r="U807" i="3" s="1"/>
  <c r="AD807" i="3"/>
  <c r="T808" i="3"/>
  <c r="Y806" i="3" l="1"/>
  <c r="AH808" i="3"/>
  <c r="AG808" i="3"/>
  <c r="D808" i="3"/>
  <c r="G808" i="3" s="1"/>
  <c r="E808" i="3"/>
  <c r="H808" i="3" s="1"/>
  <c r="K808" i="3" s="1"/>
  <c r="AE808" i="3" s="1"/>
  <c r="F808" i="3" l="1"/>
  <c r="V808" i="3"/>
  <c r="A809" i="3"/>
  <c r="B809" i="3" s="1"/>
  <c r="I808" i="3"/>
  <c r="J808" i="3"/>
  <c r="AD808" i="3" s="1"/>
  <c r="M808" i="3"/>
  <c r="N808" i="3" s="1"/>
  <c r="L808" i="3" l="1"/>
  <c r="AC809" i="3"/>
  <c r="Z809" i="3"/>
  <c r="AA809" i="3"/>
  <c r="P809" i="3"/>
  <c r="Q809" i="3" s="1"/>
  <c r="R809" i="3" s="1"/>
  <c r="S809" i="3" s="1"/>
  <c r="W808" i="3"/>
  <c r="T809" i="3" l="1"/>
  <c r="AH809" i="3" s="1"/>
  <c r="U808" i="3"/>
  <c r="Y807" i="3"/>
  <c r="D809" i="3" l="1"/>
  <c r="G809" i="3" s="1"/>
  <c r="AG809" i="3"/>
  <c r="E809" i="3"/>
  <c r="H809" i="3" s="1"/>
  <c r="K809" i="3" s="1"/>
  <c r="AE809" i="3" s="1"/>
  <c r="F809" i="3" l="1"/>
  <c r="V809" i="3"/>
  <c r="A810" i="3"/>
  <c r="B810" i="3" s="1"/>
  <c r="I809" i="3"/>
  <c r="J809" i="3"/>
  <c r="AD809" i="3" s="1"/>
  <c r="M809" i="3"/>
  <c r="N809" i="3" s="1"/>
  <c r="L809" i="3" l="1"/>
  <c r="P810" i="3"/>
  <c r="Q810" i="3" s="1"/>
  <c r="R810" i="3" s="1"/>
  <c r="S810" i="3" s="1"/>
  <c r="Z810" i="3"/>
  <c r="AA810" i="3"/>
  <c r="AC810" i="3"/>
  <c r="W809" i="3"/>
  <c r="T810" i="3" l="1"/>
  <c r="AH810" i="3" s="1"/>
  <c r="U809" i="3"/>
  <c r="Y808" i="3"/>
  <c r="D810" i="3" l="1"/>
  <c r="G810" i="3" s="1"/>
  <c r="AG810" i="3"/>
  <c r="E810" i="3"/>
  <c r="H810" i="3" s="1"/>
  <c r="K810" i="3" s="1"/>
  <c r="AE810" i="3" s="1"/>
  <c r="F810" i="3" l="1"/>
  <c r="V810" i="3"/>
  <c r="A811" i="3"/>
  <c r="B811" i="3" s="1"/>
  <c r="I810" i="3"/>
  <c r="J810" i="3"/>
  <c r="AD810" i="3" s="1"/>
  <c r="M810" i="3"/>
  <c r="N810" i="3" s="1"/>
  <c r="L810" i="3" l="1"/>
  <c r="P811" i="3"/>
  <c r="Q811" i="3" s="1"/>
  <c r="R811" i="3" s="1"/>
  <c r="S811" i="3" s="1"/>
  <c r="AA811" i="3"/>
  <c r="AC811" i="3"/>
  <c r="Z811" i="3"/>
  <c r="W810" i="3"/>
  <c r="T811" i="3" l="1"/>
  <c r="AH811" i="3" s="1"/>
  <c r="U810" i="3"/>
  <c r="Y809" i="3"/>
  <c r="AG811" i="3" l="1"/>
  <c r="D811" i="3"/>
  <c r="E811" i="3"/>
  <c r="H811" i="3" s="1"/>
  <c r="K811" i="3" s="1"/>
  <c r="AE811" i="3" s="1"/>
  <c r="F811" i="3" l="1"/>
  <c r="G811" i="3"/>
  <c r="I811" i="3" s="1"/>
  <c r="V811" i="3"/>
  <c r="A812" i="3"/>
  <c r="B812" i="3" s="1"/>
  <c r="M811" i="3" l="1"/>
  <c r="N811" i="3" s="1"/>
  <c r="J811" i="3"/>
  <c r="W811" i="3"/>
  <c r="AA812" i="3"/>
  <c r="Z812" i="3"/>
  <c r="P812" i="3"/>
  <c r="Q812" i="3" s="1"/>
  <c r="R812" i="3" s="1"/>
  <c r="S812" i="3" s="1"/>
  <c r="AC812" i="3"/>
  <c r="L811" i="3" l="1"/>
  <c r="U811" i="3" s="1"/>
  <c r="AD811" i="3"/>
  <c r="T812" i="3"/>
  <c r="Y810" i="3" l="1"/>
  <c r="AG812" i="3"/>
  <c r="AH812" i="3"/>
  <c r="D812" i="3"/>
  <c r="G812" i="3" s="1"/>
  <c r="E812" i="3"/>
  <c r="H812" i="3" s="1"/>
  <c r="K812" i="3" s="1"/>
  <c r="AE812" i="3" s="1"/>
  <c r="F812" i="3" l="1"/>
  <c r="I812" i="3"/>
  <c r="J812" i="3"/>
  <c r="AD812" i="3" s="1"/>
  <c r="M812" i="3"/>
  <c r="N812" i="3" s="1"/>
  <c r="V812" i="3"/>
  <c r="A813" i="3"/>
  <c r="B813" i="3" s="1"/>
  <c r="W812" i="3" l="1"/>
  <c r="AA813" i="3"/>
  <c r="Z813" i="3"/>
  <c r="AC813" i="3"/>
  <c r="P813" i="3"/>
  <c r="Q813" i="3" s="1"/>
  <c r="R813" i="3" s="1"/>
  <c r="S813" i="3" s="1"/>
  <c r="L812" i="3"/>
  <c r="T813" i="3" l="1"/>
  <c r="AG813" i="3" s="1"/>
  <c r="U812" i="3"/>
  <c r="Y811" i="3"/>
  <c r="AH813" i="3" l="1"/>
  <c r="D813" i="3"/>
  <c r="G813" i="3" s="1"/>
  <c r="E813" i="3"/>
  <c r="H813" i="3" s="1"/>
  <c r="K813" i="3" l="1"/>
  <c r="AE813" i="3" s="1"/>
  <c r="I813" i="3"/>
  <c r="J813" i="3"/>
  <c r="AD813" i="3" s="1"/>
  <c r="M813" i="3"/>
  <c r="N813" i="3" s="1"/>
  <c r="F813" i="3"/>
  <c r="L813" i="3" l="1"/>
  <c r="V813" i="3"/>
  <c r="W813" i="3" s="1"/>
  <c r="A814" i="3"/>
  <c r="B814" i="3" s="1"/>
  <c r="AA814" i="3" l="1"/>
  <c r="AC814" i="3"/>
  <c r="Z814" i="3"/>
  <c r="P814" i="3"/>
  <c r="Q814" i="3" s="1"/>
  <c r="R814" i="3" s="1"/>
  <c r="S814" i="3" s="1"/>
  <c r="U813" i="3"/>
  <c r="Y812" i="3"/>
  <c r="T814" i="3" l="1"/>
  <c r="AH814" i="3" s="1"/>
  <c r="E814" i="3" l="1"/>
  <c r="H814" i="3" s="1"/>
  <c r="K814" i="3" s="1"/>
  <c r="AE814" i="3" s="1"/>
  <c r="D814" i="3"/>
  <c r="G814" i="3" s="1"/>
  <c r="AG814" i="3"/>
  <c r="F814" i="3" l="1"/>
  <c r="I814" i="3"/>
  <c r="J814" i="3"/>
  <c r="AD814" i="3" s="1"/>
  <c r="M814" i="3"/>
  <c r="N814" i="3" s="1"/>
  <c r="V814" i="3"/>
  <c r="A815" i="3"/>
  <c r="B815" i="3" s="1"/>
  <c r="W814" i="3" l="1"/>
  <c r="Z815" i="3"/>
  <c r="AA815" i="3"/>
  <c r="P815" i="3"/>
  <c r="Q815" i="3" s="1"/>
  <c r="R815" i="3" s="1"/>
  <c r="S815" i="3" s="1"/>
  <c r="AC815" i="3"/>
  <c r="L814" i="3"/>
  <c r="U814" i="3" l="1"/>
  <c r="Y813" i="3"/>
  <c r="T815" i="3"/>
  <c r="D815" i="3" l="1"/>
  <c r="G815" i="3" s="1"/>
  <c r="AG815" i="3"/>
  <c r="E815" i="3"/>
  <c r="H815" i="3" s="1"/>
  <c r="K815" i="3" s="1"/>
  <c r="AE815" i="3" s="1"/>
  <c r="AH815" i="3"/>
  <c r="F815" i="3" l="1"/>
  <c r="V815" i="3"/>
  <c r="A816" i="3"/>
  <c r="B816" i="3" s="1"/>
  <c r="I815" i="3"/>
  <c r="J815" i="3"/>
  <c r="AD815" i="3" s="1"/>
  <c r="M815" i="3"/>
  <c r="N815" i="3" s="1"/>
  <c r="L815" i="3" l="1"/>
  <c r="W815" i="3"/>
  <c r="P816" i="3"/>
  <c r="Q816" i="3" s="1"/>
  <c r="R816" i="3" s="1"/>
  <c r="S816" i="3" s="1"/>
  <c r="Z816" i="3"/>
  <c r="AA816" i="3"/>
  <c r="AC816" i="3"/>
  <c r="T816" i="3" l="1"/>
  <c r="AG816" i="3" s="1"/>
  <c r="U815" i="3"/>
  <c r="Y814" i="3"/>
  <c r="E816" i="3" l="1"/>
  <c r="H816" i="3" s="1"/>
  <c r="K816" i="3" s="1"/>
  <c r="AE816" i="3" s="1"/>
  <c r="D816" i="3"/>
  <c r="AH816" i="3"/>
  <c r="F816" i="3" l="1"/>
  <c r="G816" i="3"/>
  <c r="J816" i="3" s="1"/>
  <c r="AD816" i="3" s="1"/>
  <c r="V816" i="3"/>
  <c r="A817" i="3"/>
  <c r="B817" i="3" s="1"/>
  <c r="I816" i="3" l="1"/>
  <c r="W816" i="3" s="1"/>
  <c r="M816" i="3"/>
  <c r="N816" i="3" s="1"/>
  <c r="AA817" i="3"/>
  <c r="AC817" i="3"/>
  <c r="P817" i="3"/>
  <c r="Q817" i="3" s="1"/>
  <c r="R817" i="3" s="1"/>
  <c r="S817" i="3" s="1"/>
  <c r="Z817" i="3"/>
  <c r="L816" i="3"/>
  <c r="T817" i="3" l="1"/>
  <c r="AG817" i="3" s="1"/>
  <c r="U816" i="3"/>
  <c r="Y815" i="3"/>
  <c r="AH817" i="3" l="1"/>
  <c r="D817" i="3"/>
  <c r="G817" i="3" s="1"/>
  <c r="E817" i="3"/>
  <c r="H817" i="3" s="1"/>
  <c r="K817" i="3" s="1"/>
  <c r="AE817" i="3" s="1"/>
  <c r="F817" i="3" l="1"/>
  <c r="V817" i="3"/>
  <c r="A818" i="3"/>
  <c r="B818" i="3" s="1"/>
  <c r="I817" i="3"/>
  <c r="J817" i="3"/>
  <c r="AD817" i="3" s="1"/>
  <c r="M817" i="3"/>
  <c r="N817" i="3" s="1"/>
  <c r="L817" i="3" l="1"/>
  <c r="Z818" i="3"/>
  <c r="AA818" i="3"/>
  <c r="AC818" i="3"/>
  <c r="P818" i="3"/>
  <c r="Q818" i="3" s="1"/>
  <c r="R818" i="3" s="1"/>
  <c r="S818" i="3" s="1"/>
  <c r="W817" i="3"/>
  <c r="T818" i="3" l="1"/>
  <c r="AG818" i="3" s="1"/>
  <c r="U817" i="3"/>
  <c r="Y816" i="3"/>
  <c r="E818" i="3" l="1"/>
  <c r="H818" i="3" s="1"/>
  <c r="K818" i="3" s="1"/>
  <c r="AE818" i="3" s="1"/>
  <c r="AH818" i="3"/>
  <c r="D818" i="3"/>
  <c r="F818" i="3" l="1"/>
  <c r="G818" i="3"/>
  <c r="J818" i="3" s="1"/>
  <c r="AD818" i="3" s="1"/>
  <c r="V818" i="3"/>
  <c r="A819" i="3"/>
  <c r="B819" i="3" s="1"/>
  <c r="I818" i="3" l="1"/>
  <c r="W818" i="3" s="1"/>
  <c r="M818" i="3"/>
  <c r="N818" i="3" s="1"/>
  <c r="L818" i="3"/>
  <c r="Z819" i="3"/>
  <c r="AA819" i="3"/>
  <c r="P819" i="3"/>
  <c r="Q819" i="3" s="1"/>
  <c r="R819" i="3" s="1"/>
  <c r="S819" i="3" s="1"/>
  <c r="AC819" i="3"/>
  <c r="U818" i="3" l="1"/>
  <c r="Y817" i="3"/>
  <c r="T819" i="3"/>
  <c r="D819" i="3" l="1"/>
  <c r="G819" i="3" s="1"/>
  <c r="E819" i="3"/>
  <c r="H819" i="3" s="1"/>
  <c r="AG819" i="3"/>
  <c r="AH819" i="3"/>
  <c r="K819" i="3" l="1"/>
  <c r="AE819" i="3" s="1"/>
  <c r="I819" i="3"/>
  <c r="J819" i="3"/>
  <c r="AD819" i="3" s="1"/>
  <c r="M819" i="3"/>
  <c r="N819" i="3" s="1"/>
  <c r="F819" i="3"/>
  <c r="L819" i="3" l="1"/>
  <c r="V819" i="3"/>
  <c r="W819" i="3" s="1"/>
  <c r="A820" i="3"/>
  <c r="B820" i="3" s="1"/>
  <c r="Z820" i="3" l="1"/>
  <c r="AA820" i="3"/>
  <c r="AC820" i="3"/>
  <c r="P820" i="3"/>
  <c r="Q820" i="3" s="1"/>
  <c r="R820" i="3" s="1"/>
  <c r="S820" i="3" s="1"/>
  <c r="U819" i="3"/>
  <c r="Y818" i="3"/>
  <c r="T820" i="3" l="1"/>
  <c r="AG820" i="3" s="1"/>
  <c r="D820" i="3" l="1"/>
  <c r="G820" i="3" s="1"/>
  <c r="E820" i="3"/>
  <c r="H820" i="3" s="1"/>
  <c r="K820" i="3" s="1"/>
  <c r="AE820" i="3" s="1"/>
  <c r="AH820" i="3"/>
  <c r="F820" i="3" l="1"/>
  <c r="I820" i="3"/>
  <c r="J820" i="3"/>
  <c r="AD820" i="3" s="1"/>
  <c r="M820" i="3"/>
  <c r="N820" i="3" s="1"/>
  <c r="V820" i="3"/>
  <c r="W820" i="3" s="1"/>
  <c r="A821" i="3"/>
  <c r="B821" i="3" s="1"/>
  <c r="L820" i="3" l="1"/>
  <c r="P821" i="3"/>
  <c r="Q821" i="3" s="1"/>
  <c r="R821" i="3" s="1"/>
  <c r="S821" i="3" s="1"/>
  <c r="AA821" i="3"/>
  <c r="AC821" i="3"/>
  <c r="Z821" i="3"/>
  <c r="T821" i="3" l="1"/>
  <c r="AH821" i="3" s="1"/>
  <c r="U820" i="3"/>
  <c r="Y819" i="3"/>
  <c r="D821" i="3" l="1"/>
  <c r="G821" i="3" s="1"/>
  <c r="AG821" i="3"/>
  <c r="E821" i="3"/>
  <c r="H821" i="3" s="1"/>
  <c r="K821" i="3" l="1"/>
  <c r="AE821" i="3" s="1"/>
  <c r="I821" i="3"/>
  <c r="J821" i="3"/>
  <c r="AD821" i="3" s="1"/>
  <c r="M821" i="3"/>
  <c r="N821" i="3" s="1"/>
  <c r="F821" i="3"/>
  <c r="L821" i="3" l="1"/>
  <c r="V821" i="3"/>
  <c r="W821" i="3" s="1"/>
  <c r="A822" i="3"/>
  <c r="B822" i="3" s="1"/>
  <c r="P822" i="3" l="1"/>
  <c r="Q822" i="3" s="1"/>
  <c r="R822" i="3" s="1"/>
  <c r="S822" i="3" s="1"/>
  <c r="AA822" i="3"/>
  <c r="Z822" i="3"/>
  <c r="AC822" i="3"/>
  <c r="U821" i="3"/>
  <c r="Y820" i="3"/>
  <c r="T822" i="3" l="1"/>
  <c r="AH822" i="3" s="1"/>
  <c r="AG822" i="3" l="1"/>
  <c r="D822" i="3"/>
  <c r="E822" i="3"/>
  <c r="H822" i="3" s="1"/>
  <c r="K822" i="3" l="1"/>
  <c r="AE822" i="3" s="1"/>
  <c r="F822" i="3"/>
  <c r="G822" i="3"/>
  <c r="I822" i="3" l="1"/>
  <c r="J822" i="3"/>
  <c r="AD822" i="3" s="1"/>
  <c r="M822" i="3"/>
  <c r="N822" i="3" s="1"/>
  <c r="V822" i="3"/>
  <c r="A823" i="3"/>
  <c r="B823" i="3" s="1"/>
  <c r="W822" i="3" l="1"/>
  <c r="AA823" i="3"/>
  <c r="Z823" i="3"/>
  <c r="P823" i="3"/>
  <c r="Q823" i="3" s="1"/>
  <c r="R823" i="3" s="1"/>
  <c r="S823" i="3" s="1"/>
  <c r="AC823" i="3"/>
  <c r="L822" i="3"/>
  <c r="T823" i="3" l="1"/>
  <c r="AH823" i="3" s="1"/>
  <c r="U822" i="3"/>
  <c r="Y821" i="3"/>
  <c r="AG823" i="3" l="1"/>
  <c r="E823" i="3"/>
  <c r="H823" i="3" s="1"/>
  <c r="K823" i="3" s="1"/>
  <c r="AE823" i="3" s="1"/>
  <c r="D823" i="3"/>
  <c r="F823" i="3" l="1"/>
  <c r="G823" i="3"/>
  <c r="I823" i="3" s="1"/>
  <c r="V823" i="3"/>
  <c r="A824" i="3"/>
  <c r="B824" i="3" s="1"/>
  <c r="J823" i="3" l="1"/>
  <c r="AD823" i="3" s="1"/>
  <c r="M823" i="3"/>
  <c r="N823" i="3" s="1"/>
  <c r="P824" i="3"/>
  <c r="Q824" i="3" s="1"/>
  <c r="R824" i="3" s="1"/>
  <c r="S824" i="3" s="1"/>
  <c r="AA824" i="3"/>
  <c r="Z824" i="3"/>
  <c r="AC824" i="3"/>
  <c r="W823" i="3"/>
  <c r="L823" i="3" l="1"/>
  <c r="U823" i="3" s="1"/>
  <c r="T824" i="3"/>
  <c r="Y822" i="3" l="1"/>
  <c r="D824" i="3"/>
  <c r="G824" i="3" s="1"/>
  <c r="AH824" i="3"/>
  <c r="E824" i="3"/>
  <c r="H824" i="3" s="1"/>
  <c r="AG824" i="3"/>
  <c r="K824" i="3" l="1"/>
  <c r="AE824" i="3" s="1"/>
  <c r="I824" i="3"/>
  <c r="J824" i="3"/>
  <c r="AD824" i="3" s="1"/>
  <c r="M824" i="3"/>
  <c r="N824" i="3" s="1"/>
  <c r="F824" i="3"/>
  <c r="L824" i="3" l="1"/>
  <c r="V824" i="3"/>
  <c r="W824" i="3" s="1"/>
  <c r="A825" i="3"/>
  <c r="B825" i="3" s="1"/>
  <c r="Z825" i="3" l="1"/>
  <c r="AA825" i="3"/>
  <c r="AD825" i="3"/>
  <c r="P825" i="3"/>
  <c r="Q825" i="3" s="1"/>
  <c r="R825" i="3" s="1"/>
  <c r="S825" i="3" s="1"/>
  <c r="AC825" i="3"/>
  <c r="U824" i="3"/>
  <c r="Y823" i="3"/>
  <c r="T825" i="3" l="1"/>
  <c r="E825" i="3" s="1"/>
  <c r="H825" i="3" s="1"/>
  <c r="D825" i="3" l="1"/>
  <c r="G825" i="3" s="1"/>
  <c r="AH825" i="3"/>
  <c r="AG825" i="3"/>
  <c r="K825" i="3"/>
  <c r="AE825" i="3" s="1"/>
  <c r="F825" i="3" l="1"/>
  <c r="V825" i="3"/>
  <c r="A826" i="3"/>
  <c r="B826" i="3" s="1"/>
  <c r="I825" i="3"/>
  <c r="J825" i="3"/>
  <c r="M825" i="3"/>
  <c r="N825" i="3" s="1"/>
  <c r="L825" i="3" l="1"/>
  <c r="AC826" i="3"/>
  <c r="P826" i="3"/>
  <c r="Q826" i="3" s="1"/>
  <c r="R826" i="3" s="1"/>
  <c r="S826" i="3" s="1"/>
  <c r="AD826" i="3"/>
  <c r="AA826" i="3"/>
  <c r="Z826" i="3"/>
  <c r="W825" i="3"/>
  <c r="T826" i="3" l="1"/>
  <c r="AH826" i="3" s="1"/>
  <c r="U825" i="3"/>
  <c r="Y824" i="3"/>
  <c r="D826" i="3" l="1"/>
  <c r="G826" i="3" s="1"/>
  <c r="AG826" i="3"/>
  <c r="E826" i="3"/>
  <c r="H826" i="3" s="1"/>
  <c r="K826" i="3" s="1"/>
  <c r="AE826" i="3" s="1"/>
  <c r="F826" i="3" l="1"/>
  <c r="I826" i="3"/>
  <c r="J826" i="3"/>
  <c r="M826" i="3"/>
  <c r="N826" i="3" s="1"/>
  <c r="V826" i="3"/>
  <c r="A827" i="3"/>
  <c r="B827" i="3" s="1"/>
  <c r="W826" i="3" l="1"/>
  <c r="Z827" i="3"/>
  <c r="AC827" i="3"/>
  <c r="AA827" i="3"/>
  <c r="AD827" i="3"/>
  <c r="P827" i="3"/>
  <c r="Q827" i="3" s="1"/>
  <c r="R827" i="3" s="1"/>
  <c r="S827" i="3" s="1"/>
  <c r="L826" i="3"/>
  <c r="T827" i="3" l="1"/>
  <c r="AH827" i="3" s="1"/>
  <c r="U826" i="3"/>
  <c r="Y825" i="3"/>
  <c r="E827" i="3" l="1"/>
  <c r="H827" i="3" s="1"/>
  <c r="K827" i="3" s="1"/>
  <c r="AE827" i="3" s="1"/>
  <c r="AG827" i="3"/>
  <c r="D827" i="3"/>
  <c r="G827" i="3" s="1"/>
  <c r="F827" i="3" l="1"/>
  <c r="I827" i="3"/>
  <c r="J827" i="3"/>
  <c r="M827" i="3"/>
  <c r="N827" i="3" s="1"/>
  <c r="V827" i="3"/>
  <c r="A828" i="3"/>
  <c r="B828" i="3" s="1"/>
  <c r="W827" i="3" l="1"/>
  <c r="AC828" i="3"/>
  <c r="Z828" i="3"/>
  <c r="AD828" i="3"/>
  <c r="P828" i="3"/>
  <c r="Q828" i="3" s="1"/>
  <c r="R828" i="3" s="1"/>
  <c r="S828" i="3" s="1"/>
  <c r="AA828" i="3"/>
  <c r="L827" i="3"/>
  <c r="T828" i="3" l="1"/>
  <c r="AH828" i="3" s="1"/>
  <c r="U827" i="3"/>
  <c r="Y826" i="3"/>
  <c r="AG828" i="3" l="1"/>
  <c r="E828" i="3"/>
  <c r="H828" i="3" s="1"/>
  <c r="K828" i="3" s="1"/>
  <c r="AE828" i="3" s="1"/>
  <c r="D828" i="3"/>
  <c r="F828" i="3" l="1"/>
  <c r="G828" i="3"/>
  <c r="M828" i="3" s="1"/>
  <c r="N828" i="3" s="1"/>
  <c r="V828" i="3"/>
  <c r="A829" i="3"/>
  <c r="B829" i="3" s="1"/>
  <c r="J828" i="3" l="1"/>
  <c r="L828" i="3" s="1"/>
  <c r="I828" i="3"/>
  <c r="W828" i="3" s="1"/>
  <c r="AD829" i="3"/>
  <c r="P829" i="3"/>
  <c r="Q829" i="3" s="1"/>
  <c r="R829" i="3" s="1"/>
  <c r="S829" i="3" s="1"/>
  <c r="AA829" i="3"/>
  <c r="Z829" i="3"/>
  <c r="AC829" i="3"/>
  <c r="U828" i="3" l="1"/>
  <c r="Y827" i="3"/>
  <c r="T829" i="3"/>
  <c r="AH829" i="3" s="1"/>
  <c r="D829" i="3" l="1"/>
  <c r="E829" i="3"/>
  <c r="H829" i="3" s="1"/>
  <c r="AG829" i="3"/>
  <c r="K829" i="3" l="1"/>
  <c r="AE829" i="3" s="1"/>
  <c r="F829" i="3"/>
  <c r="G829" i="3"/>
  <c r="I829" i="3" l="1"/>
  <c r="J829" i="3"/>
  <c r="M829" i="3"/>
  <c r="N829" i="3" s="1"/>
  <c r="V829" i="3"/>
  <c r="A830" i="3"/>
  <c r="B830" i="3" s="1"/>
  <c r="W829" i="3" l="1"/>
  <c r="AC830" i="3"/>
  <c r="AA830" i="3"/>
  <c r="Z830" i="3"/>
  <c r="P830" i="3"/>
  <c r="Q830" i="3" s="1"/>
  <c r="R830" i="3" s="1"/>
  <c r="S830" i="3" s="1"/>
  <c r="AD830" i="3"/>
  <c r="L829" i="3"/>
  <c r="T830" i="3" l="1"/>
  <c r="AG830" i="3" s="1"/>
  <c r="U829" i="3"/>
  <c r="Y828" i="3"/>
  <c r="D830" i="3" l="1"/>
  <c r="G830" i="3" s="1"/>
  <c r="AH830" i="3"/>
  <c r="E830" i="3"/>
  <c r="H830" i="3" s="1"/>
  <c r="K830" i="3" s="1"/>
  <c r="AE830" i="3" s="1"/>
  <c r="F830" i="3" l="1"/>
  <c r="V830" i="3"/>
  <c r="A831" i="3"/>
  <c r="B831" i="3" s="1"/>
  <c r="I830" i="3"/>
  <c r="J830" i="3"/>
  <c r="M830" i="3"/>
  <c r="N830" i="3" s="1"/>
  <c r="P831" i="3" l="1"/>
  <c r="Q831" i="3" s="1"/>
  <c r="R831" i="3" s="1"/>
  <c r="S831" i="3" s="1"/>
  <c r="AA831" i="3"/>
  <c r="AD831" i="3"/>
  <c r="AC831" i="3"/>
  <c r="Z831" i="3"/>
  <c r="L830" i="3"/>
  <c r="W830" i="3"/>
  <c r="U830" i="3" l="1"/>
  <c r="Y829" i="3"/>
  <c r="T831" i="3"/>
  <c r="AH831" i="3" s="1"/>
  <c r="E831" i="3" l="1"/>
  <c r="H831" i="3" s="1"/>
  <c r="K831" i="3" s="1"/>
  <c r="AE831" i="3" s="1"/>
  <c r="AG831" i="3"/>
  <c r="D831" i="3"/>
  <c r="F831" i="3" l="1"/>
  <c r="G831" i="3"/>
  <c r="V831" i="3"/>
  <c r="A832" i="3"/>
  <c r="B832" i="3" s="1"/>
  <c r="P832" i="3" l="1"/>
  <c r="Q832" i="3" s="1"/>
  <c r="R832" i="3" s="1"/>
  <c r="S832" i="3" s="1"/>
  <c r="AC832" i="3"/>
  <c r="AD832" i="3"/>
  <c r="Z832" i="3"/>
  <c r="AA832" i="3"/>
  <c r="I831" i="3"/>
  <c r="W831" i="3" s="1"/>
  <c r="J831" i="3"/>
  <c r="M831" i="3"/>
  <c r="N831" i="3" s="1"/>
  <c r="L831" i="3" l="1"/>
  <c r="T832" i="3"/>
  <c r="AH832" i="3" l="1"/>
  <c r="U831" i="3"/>
  <c r="E832" i="3" s="1"/>
  <c r="H832" i="3" s="1"/>
  <c r="AG832" i="3"/>
  <c r="Y830" i="3"/>
  <c r="K832" i="3" l="1"/>
  <c r="AE832" i="3" s="1"/>
  <c r="D832" i="3"/>
  <c r="F832" i="3" l="1"/>
  <c r="G832" i="3"/>
  <c r="V832" i="3"/>
  <c r="A833" i="3"/>
  <c r="B833" i="3" s="1"/>
  <c r="AD833" i="3" l="1"/>
  <c r="AC833" i="3"/>
  <c r="P833" i="3"/>
  <c r="Q833" i="3" s="1"/>
  <c r="R833" i="3" s="1"/>
  <c r="S833" i="3" s="1"/>
  <c r="Z833" i="3"/>
  <c r="AA833" i="3"/>
  <c r="I832" i="3"/>
  <c r="W832" i="3" s="1"/>
  <c r="J832" i="3"/>
  <c r="M832" i="3"/>
  <c r="N832" i="3" s="1"/>
  <c r="T833" i="3" l="1"/>
  <c r="L832" i="3"/>
  <c r="AH833" i="3" l="1"/>
  <c r="AG833" i="3"/>
  <c r="U832" i="3"/>
  <c r="E833" i="3" s="1"/>
  <c r="H833" i="3" s="1"/>
  <c r="Y831" i="3"/>
  <c r="D833" i="3" l="1"/>
  <c r="F833" i="3" s="1"/>
  <c r="K833" i="3"/>
  <c r="AE833" i="3" s="1"/>
  <c r="G833" i="3" l="1"/>
  <c r="I833" i="3" s="1"/>
  <c r="V833" i="3"/>
  <c r="A834" i="3"/>
  <c r="B834" i="3" s="1"/>
  <c r="M833" i="3" l="1"/>
  <c r="N833" i="3" s="1"/>
  <c r="J833" i="3"/>
  <c r="L833" i="3" s="1"/>
  <c r="W833" i="3"/>
  <c r="AA834" i="3"/>
  <c r="P834" i="3"/>
  <c r="Q834" i="3" s="1"/>
  <c r="R834" i="3" s="1"/>
  <c r="S834" i="3" s="1"/>
  <c r="Z834" i="3"/>
  <c r="AC834" i="3"/>
  <c r="U833" i="3" l="1"/>
  <c r="Y832" i="3"/>
  <c r="T834" i="3"/>
  <c r="AG834" i="3" s="1"/>
  <c r="E834" i="3" l="1"/>
  <c r="H834" i="3" s="1"/>
  <c r="K834" i="3" s="1"/>
  <c r="AE834" i="3" s="1"/>
  <c r="AH834" i="3"/>
  <c r="D834" i="3"/>
  <c r="F834" i="3" l="1"/>
  <c r="G834" i="3"/>
  <c r="I834" i="3" s="1"/>
  <c r="V834" i="3"/>
  <c r="A835" i="3"/>
  <c r="B835" i="3" s="1"/>
  <c r="M834" i="3" l="1"/>
  <c r="N834" i="3" s="1"/>
  <c r="W834" i="3"/>
  <c r="J834" i="3"/>
  <c r="AD834" i="3" s="1"/>
  <c r="AC835" i="3"/>
  <c r="Z835" i="3"/>
  <c r="AA835" i="3"/>
  <c r="P835" i="3"/>
  <c r="Q835" i="3" s="1"/>
  <c r="R835" i="3" s="1"/>
  <c r="S835" i="3" s="1"/>
  <c r="L834" i="3" l="1"/>
  <c r="U834" i="3" s="1"/>
  <c r="T835" i="3"/>
  <c r="Y833" i="3" l="1"/>
  <c r="AG835" i="3"/>
  <c r="AH835" i="3"/>
  <c r="D835" i="3"/>
  <c r="G835" i="3" s="1"/>
  <c r="E835" i="3"/>
  <c r="H835" i="3" s="1"/>
  <c r="K835" i="3" s="1"/>
  <c r="AE835" i="3" s="1"/>
  <c r="F835" i="3" l="1"/>
  <c r="I835" i="3"/>
  <c r="J835" i="3"/>
  <c r="AD835" i="3" s="1"/>
  <c r="M835" i="3"/>
  <c r="N835" i="3" s="1"/>
  <c r="V835" i="3"/>
  <c r="W835" i="3" s="1"/>
  <c r="A836" i="3"/>
  <c r="B836" i="3" s="1"/>
  <c r="AA836" i="3" l="1"/>
  <c r="Z836" i="3"/>
  <c r="AC836" i="3"/>
  <c r="P836" i="3"/>
  <c r="Q836" i="3" s="1"/>
  <c r="R836" i="3" s="1"/>
  <c r="S836" i="3" s="1"/>
  <c r="L835" i="3"/>
  <c r="T836" i="3" l="1"/>
  <c r="AH836" i="3" s="1"/>
  <c r="U835" i="3"/>
  <c r="Y834" i="3"/>
  <c r="E836" i="3" l="1"/>
  <c r="H836" i="3" s="1"/>
  <c r="K836" i="3" s="1"/>
  <c r="AE836" i="3" s="1"/>
  <c r="AG836" i="3"/>
  <c r="D836" i="3"/>
  <c r="F836" i="3" l="1"/>
  <c r="G836" i="3"/>
  <c r="I836" i="3" s="1"/>
  <c r="V836" i="3"/>
  <c r="A837" i="3"/>
  <c r="B837" i="3" s="1"/>
  <c r="M836" i="3" l="1"/>
  <c r="N836" i="3" s="1"/>
  <c r="J836" i="3"/>
  <c r="W836" i="3"/>
  <c r="P837" i="3"/>
  <c r="Q837" i="3" s="1"/>
  <c r="R837" i="3" s="1"/>
  <c r="S837" i="3" s="1"/>
  <c r="Z837" i="3"/>
  <c r="AA837" i="3"/>
  <c r="AC837" i="3"/>
  <c r="L836" i="3" l="1"/>
  <c r="Y835" i="3" s="1"/>
  <c r="AD836" i="3"/>
  <c r="T837" i="3"/>
  <c r="U836" i="3" l="1"/>
  <c r="E837" i="3" s="1"/>
  <c r="H837" i="3" s="1"/>
  <c r="K837" i="3" s="1"/>
  <c r="AE837" i="3" s="1"/>
  <c r="AG837" i="3"/>
  <c r="AH837" i="3"/>
  <c r="D837" i="3" l="1"/>
  <c r="F837" i="3" s="1"/>
  <c r="V837" i="3"/>
  <c r="A838" i="3"/>
  <c r="B838" i="3" s="1"/>
  <c r="G837" i="3" l="1"/>
  <c r="M837" i="3" s="1"/>
  <c r="N837" i="3" s="1"/>
  <c r="Z838" i="3"/>
  <c r="P838" i="3"/>
  <c r="Q838" i="3" s="1"/>
  <c r="R838" i="3" s="1"/>
  <c r="S838" i="3" s="1"/>
  <c r="AC838" i="3"/>
  <c r="AA838" i="3"/>
  <c r="J837" i="3" l="1"/>
  <c r="AD837" i="3" s="1"/>
  <c r="I837" i="3"/>
  <c r="W837" i="3" s="1"/>
  <c r="T838" i="3"/>
  <c r="L837" i="3" l="1"/>
  <c r="AH838" i="3" s="1"/>
  <c r="Y836" i="3" l="1"/>
  <c r="AG838" i="3"/>
  <c r="U837" i="3"/>
  <c r="E838" i="3" s="1"/>
  <c r="H838" i="3" s="1"/>
  <c r="K838" i="3" s="1"/>
  <c r="AE838" i="3" s="1"/>
  <c r="D838" i="3" l="1"/>
  <c r="F838" i="3" s="1"/>
  <c r="V838" i="3"/>
  <c r="A839" i="3"/>
  <c r="B839" i="3" s="1"/>
  <c r="G838" i="3" l="1"/>
  <c r="I838" i="3" s="1"/>
  <c r="W838" i="3" s="1"/>
  <c r="P839" i="3"/>
  <c r="Q839" i="3" s="1"/>
  <c r="R839" i="3" s="1"/>
  <c r="S839" i="3" s="1"/>
  <c r="AA839" i="3"/>
  <c r="Z839" i="3"/>
  <c r="AC839" i="3"/>
  <c r="J838" i="3" l="1"/>
  <c r="L838" i="3" s="1"/>
  <c r="U838" i="3" s="1"/>
  <c r="M838" i="3"/>
  <c r="N838" i="3" s="1"/>
  <c r="AD838" i="3"/>
  <c r="T839" i="3"/>
  <c r="Y837" i="3" l="1"/>
  <c r="D839" i="3"/>
  <c r="G839" i="3" s="1"/>
  <c r="AG839" i="3"/>
  <c r="E839" i="3"/>
  <c r="H839" i="3" s="1"/>
  <c r="K839" i="3" s="1"/>
  <c r="AE839" i="3" s="1"/>
  <c r="AH839" i="3"/>
  <c r="F839" i="3" l="1"/>
  <c r="V839" i="3"/>
  <c r="A840" i="3"/>
  <c r="B840" i="3" s="1"/>
  <c r="I839" i="3"/>
  <c r="J839" i="3"/>
  <c r="AD839" i="3" s="1"/>
  <c r="M839" i="3"/>
  <c r="N839" i="3" s="1"/>
  <c r="L839" i="3" l="1"/>
  <c r="Z840" i="3"/>
  <c r="P840" i="3"/>
  <c r="Q840" i="3" s="1"/>
  <c r="R840" i="3" s="1"/>
  <c r="S840" i="3" s="1"/>
  <c r="AC840" i="3"/>
  <c r="AA840" i="3"/>
  <c r="W839" i="3"/>
  <c r="T840" i="3" l="1"/>
  <c r="AG840" i="3" s="1"/>
  <c r="U839" i="3"/>
  <c r="Y838" i="3"/>
  <c r="E840" i="3" l="1"/>
  <c r="H840" i="3" s="1"/>
  <c r="K840" i="3" s="1"/>
  <c r="AE840" i="3" s="1"/>
  <c r="AH840" i="3"/>
  <c r="D840" i="3"/>
  <c r="F840" i="3" l="1"/>
  <c r="G840" i="3"/>
  <c r="I840" i="3" s="1"/>
  <c r="V840" i="3"/>
  <c r="A841" i="3"/>
  <c r="B841" i="3" s="1"/>
  <c r="M840" i="3" l="1"/>
  <c r="N840" i="3" s="1"/>
  <c r="J840" i="3"/>
  <c r="AD840" i="3" s="1"/>
  <c r="P841" i="3"/>
  <c r="Q841" i="3" s="1"/>
  <c r="R841" i="3" s="1"/>
  <c r="S841" i="3" s="1"/>
  <c r="Z841" i="3"/>
  <c r="AC841" i="3"/>
  <c r="AA841" i="3"/>
  <c r="W840" i="3"/>
  <c r="L840" i="3" l="1"/>
  <c r="U840" i="3" s="1"/>
  <c r="T841" i="3"/>
  <c r="Y839" i="3" l="1"/>
  <c r="AG841" i="3"/>
  <c r="AH841" i="3"/>
  <c r="E841" i="3"/>
  <c r="H841" i="3" s="1"/>
  <c r="K841" i="3" s="1"/>
  <c r="AE841" i="3" s="1"/>
  <c r="D841" i="3"/>
  <c r="G841" i="3" s="1"/>
  <c r="F841" i="3" l="1"/>
  <c r="V841" i="3"/>
  <c r="A842" i="3"/>
  <c r="B842" i="3" s="1"/>
  <c r="I841" i="3"/>
  <c r="J841" i="3"/>
  <c r="AD841" i="3" s="1"/>
  <c r="M841" i="3"/>
  <c r="N841" i="3" s="1"/>
  <c r="L841" i="3" l="1"/>
  <c r="AA842" i="3"/>
  <c r="P842" i="3"/>
  <c r="Q842" i="3" s="1"/>
  <c r="R842" i="3" s="1"/>
  <c r="S842" i="3" s="1"/>
  <c r="Z842" i="3"/>
  <c r="AC842" i="3"/>
  <c r="W841" i="3"/>
  <c r="T842" i="3" l="1"/>
  <c r="AG842" i="3" s="1"/>
  <c r="U841" i="3"/>
  <c r="Y840" i="3"/>
  <c r="D842" i="3" l="1"/>
  <c r="G842" i="3" s="1"/>
  <c r="AH842" i="3"/>
  <c r="E842" i="3"/>
  <c r="H842" i="3" s="1"/>
  <c r="K842" i="3" s="1"/>
  <c r="AE842" i="3" s="1"/>
  <c r="F842" i="3" l="1"/>
  <c r="V842" i="3"/>
  <c r="A843" i="3"/>
  <c r="B843" i="3" s="1"/>
  <c r="I842" i="3"/>
  <c r="J842" i="3"/>
  <c r="AD842" i="3" s="1"/>
  <c r="M842" i="3"/>
  <c r="N842" i="3" s="1"/>
  <c r="L842" i="3" l="1"/>
  <c r="W842" i="3"/>
  <c r="AA843" i="3"/>
  <c r="AC843" i="3"/>
  <c r="Z843" i="3"/>
  <c r="P843" i="3"/>
  <c r="Q843" i="3" s="1"/>
  <c r="R843" i="3" s="1"/>
  <c r="S843" i="3" s="1"/>
  <c r="T843" i="3" l="1"/>
  <c r="AH843" i="3" s="1"/>
  <c r="U842" i="3"/>
  <c r="Y841" i="3"/>
  <c r="D843" i="3" l="1"/>
  <c r="G843" i="3" s="1"/>
  <c r="AG843" i="3"/>
  <c r="E843" i="3"/>
  <c r="H843" i="3" s="1"/>
  <c r="K843" i="3" l="1"/>
  <c r="AE843" i="3" s="1"/>
  <c r="I843" i="3"/>
  <c r="J843" i="3"/>
  <c r="AD843" i="3" s="1"/>
  <c r="M843" i="3"/>
  <c r="N843" i="3" s="1"/>
  <c r="F843" i="3"/>
  <c r="L843" i="3" l="1"/>
  <c r="V843" i="3"/>
  <c r="W843" i="3" s="1"/>
  <c r="A844" i="3"/>
  <c r="B844" i="3" s="1"/>
  <c r="P844" i="3" l="1"/>
  <c r="Q844" i="3" s="1"/>
  <c r="R844" i="3" s="1"/>
  <c r="S844" i="3" s="1"/>
  <c r="Z844" i="3"/>
  <c r="AA844" i="3"/>
  <c r="AC844" i="3"/>
  <c r="U843" i="3"/>
  <c r="Y842" i="3"/>
  <c r="T844" i="3" l="1"/>
  <c r="E844" i="3" l="1"/>
  <c r="H844" i="3" s="1"/>
  <c r="AH844" i="3"/>
  <c r="AG844" i="3"/>
  <c r="D844" i="3"/>
  <c r="F844" i="3" l="1"/>
  <c r="G844" i="3"/>
  <c r="K844" i="3"/>
  <c r="AE844" i="3" s="1"/>
  <c r="V844" i="3" l="1"/>
  <c r="A845" i="3"/>
  <c r="B845" i="3" s="1"/>
  <c r="I844" i="3"/>
  <c r="J844" i="3"/>
  <c r="AD844" i="3" s="1"/>
  <c r="M844" i="3"/>
  <c r="N844" i="3" s="1"/>
  <c r="L844" i="3" l="1"/>
  <c r="AA845" i="3"/>
  <c r="Z845" i="3"/>
  <c r="P845" i="3"/>
  <c r="Q845" i="3" s="1"/>
  <c r="R845" i="3" s="1"/>
  <c r="S845" i="3" s="1"/>
  <c r="AC845" i="3"/>
  <c r="W844" i="3"/>
  <c r="T845" i="3" l="1"/>
  <c r="AG845" i="3" s="1"/>
  <c r="U844" i="3"/>
  <c r="Y843" i="3"/>
  <c r="D845" i="3" l="1"/>
  <c r="G845" i="3" s="1"/>
  <c r="E845" i="3"/>
  <c r="H845" i="3" s="1"/>
  <c r="K845" i="3" s="1"/>
  <c r="AE845" i="3" s="1"/>
  <c r="AH845" i="3"/>
  <c r="F845" i="3" l="1"/>
  <c r="I845" i="3"/>
  <c r="J845" i="3"/>
  <c r="AD845" i="3" s="1"/>
  <c r="M845" i="3"/>
  <c r="N845" i="3" s="1"/>
  <c r="V845" i="3"/>
  <c r="A846" i="3"/>
  <c r="B846" i="3" s="1"/>
  <c r="W845" i="3" l="1"/>
  <c r="AC846" i="3"/>
  <c r="AA846" i="3"/>
  <c r="P846" i="3"/>
  <c r="Q846" i="3" s="1"/>
  <c r="R846" i="3" s="1"/>
  <c r="S846" i="3" s="1"/>
  <c r="Z846" i="3"/>
  <c r="L845" i="3"/>
  <c r="T846" i="3" l="1"/>
  <c r="AG846" i="3" s="1"/>
  <c r="U845" i="3"/>
  <c r="Y844" i="3"/>
  <c r="AH846" i="3" l="1"/>
  <c r="E846" i="3"/>
  <c r="H846" i="3" s="1"/>
  <c r="K846" i="3" s="1"/>
  <c r="AE846" i="3" s="1"/>
  <c r="D846" i="3"/>
  <c r="F846" i="3" l="1"/>
  <c r="G846" i="3"/>
  <c r="I846" i="3" s="1"/>
  <c r="V846" i="3"/>
  <c r="A847" i="3"/>
  <c r="B847" i="3" s="1"/>
  <c r="M846" i="3" l="1"/>
  <c r="N846" i="3" s="1"/>
  <c r="J846" i="3"/>
  <c r="P847" i="3"/>
  <c r="Q847" i="3" s="1"/>
  <c r="R847" i="3" s="1"/>
  <c r="S847" i="3" s="1"/>
  <c r="Z847" i="3"/>
  <c r="AC847" i="3"/>
  <c r="AA847" i="3"/>
  <c r="W846" i="3"/>
  <c r="L846" i="3" l="1"/>
  <c r="U846" i="3" s="1"/>
  <c r="AD846" i="3"/>
  <c r="T847" i="3"/>
  <c r="Y845" i="3" l="1"/>
  <c r="AG847" i="3"/>
  <c r="D847" i="3"/>
  <c r="G847" i="3" s="1"/>
  <c r="AH847" i="3"/>
  <c r="E847" i="3"/>
  <c r="H847" i="3" s="1"/>
  <c r="K847" i="3" s="1"/>
  <c r="AE847" i="3" s="1"/>
  <c r="F847" i="3" l="1"/>
  <c r="I847" i="3"/>
  <c r="J847" i="3"/>
  <c r="AD847" i="3" s="1"/>
  <c r="M847" i="3"/>
  <c r="N847" i="3" s="1"/>
  <c r="V847" i="3"/>
  <c r="A848" i="3"/>
  <c r="B848" i="3" s="1"/>
  <c r="W847" i="3" l="1"/>
  <c r="AC848" i="3"/>
  <c r="AA848" i="3"/>
  <c r="P848" i="3"/>
  <c r="Q848" i="3" s="1"/>
  <c r="R848" i="3" s="1"/>
  <c r="S848" i="3" s="1"/>
  <c r="Z848" i="3"/>
  <c r="L847" i="3"/>
  <c r="T848" i="3" l="1"/>
  <c r="AG848" i="3" s="1"/>
  <c r="U847" i="3"/>
  <c r="Y846" i="3"/>
  <c r="D848" i="3" l="1"/>
  <c r="G848" i="3" s="1"/>
  <c r="AH848" i="3"/>
  <c r="E848" i="3"/>
  <c r="H848" i="3" s="1"/>
  <c r="K848" i="3" s="1"/>
  <c r="AE848" i="3" s="1"/>
  <c r="F848" i="3" l="1"/>
  <c r="V848" i="3"/>
  <c r="A849" i="3"/>
  <c r="B849" i="3" s="1"/>
  <c r="I848" i="3"/>
  <c r="J848" i="3"/>
  <c r="AD848" i="3" s="1"/>
  <c r="M848" i="3"/>
  <c r="N848" i="3" s="1"/>
  <c r="Z849" i="3" l="1"/>
  <c r="AA849" i="3"/>
  <c r="AC849" i="3"/>
  <c r="P849" i="3"/>
  <c r="Q849" i="3" s="1"/>
  <c r="R849" i="3" s="1"/>
  <c r="S849" i="3" s="1"/>
  <c r="L848" i="3"/>
  <c r="W848" i="3"/>
  <c r="U848" i="3" l="1"/>
  <c r="Y847" i="3"/>
  <c r="T849" i="3"/>
  <c r="AH849" i="3" s="1"/>
  <c r="E849" i="3" l="1"/>
  <c r="H849" i="3" s="1"/>
  <c r="AG849" i="3"/>
  <c r="D849" i="3"/>
  <c r="F849" i="3" l="1"/>
  <c r="G849" i="3"/>
  <c r="K849" i="3"/>
  <c r="AE849" i="3" s="1"/>
  <c r="V849" i="3" l="1"/>
  <c r="A850" i="3"/>
  <c r="B850" i="3" s="1"/>
  <c r="I849" i="3"/>
  <c r="J849" i="3"/>
  <c r="AD849" i="3" s="1"/>
  <c r="M849" i="3"/>
  <c r="N849" i="3" s="1"/>
  <c r="L849" i="3" l="1"/>
  <c r="P850" i="3"/>
  <c r="Q850" i="3" s="1"/>
  <c r="R850" i="3" s="1"/>
  <c r="S850" i="3" s="1"/>
  <c r="AC850" i="3"/>
  <c r="Z850" i="3"/>
  <c r="AA850" i="3"/>
  <c r="W849" i="3"/>
  <c r="T850" i="3" l="1"/>
  <c r="AH850" i="3" s="1"/>
  <c r="U849" i="3"/>
  <c r="Y848" i="3"/>
  <c r="E850" i="3" l="1"/>
  <c r="H850" i="3" s="1"/>
  <c r="K850" i="3" s="1"/>
  <c r="AE850" i="3" s="1"/>
  <c r="AG850" i="3"/>
  <c r="D850" i="3"/>
  <c r="V850" i="3" l="1"/>
  <c r="A851" i="3"/>
  <c r="B851" i="3" s="1"/>
  <c r="F850" i="3"/>
  <c r="G850" i="3"/>
  <c r="I850" i="3" l="1"/>
  <c r="W850" i="3" s="1"/>
  <c r="J850" i="3"/>
  <c r="AD850" i="3" s="1"/>
  <c r="M850" i="3"/>
  <c r="N850" i="3" s="1"/>
  <c r="AC851" i="3"/>
  <c r="AA851" i="3"/>
  <c r="P851" i="3"/>
  <c r="Q851" i="3" s="1"/>
  <c r="R851" i="3" s="1"/>
  <c r="S851" i="3" s="1"/>
  <c r="Z851" i="3"/>
  <c r="L850" i="3" l="1"/>
  <c r="T851" i="3"/>
  <c r="AG851" i="3" l="1"/>
  <c r="AH851" i="3"/>
  <c r="U850" i="3"/>
  <c r="E851" i="3" s="1"/>
  <c r="H851" i="3" s="1"/>
  <c r="Y849" i="3"/>
  <c r="D851" i="3" l="1"/>
  <c r="F851" i="3" s="1"/>
  <c r="K851" i="3"/>
  <c r="AE851" i="3" s="1"/>
  <c r="G851" i="3" l="1"/>
  <c r="I851" i="3" s="1"/>
  <c r="V851" i="3"/>
  <c r="A852" i="3"/>
  <c r="B852" i="3" s="1"/>
  <c r="M851" i="3" l="1"/>
  <c r="N851" i="3" s="1"/>
  <c r="J851" i="3"/>
  <c r="W851" i="3"/>
  <c r="AC852" i="3"/>
  <c r="P852" i="3"/>
  <c r="Q852" i="3" s="1"/>
  <c r="R852" i="3" s="1"/>
  <c r="S852" i="3" s="1"/>
  <c r="Z852" i="3"/>
  <c r="AA852" i="3"/>
  <c r="L851" i="3" l="1"/>
  <c r="U851" i="3" s="1"/>
  <c r="AD851" i="3"/>
  <c r="T852" i="3"/>
  <c r="Y850" i="3" l="1"/>
  <c r="AH852" i="3"/>
  <c r="AG852" i="3"/>
  <c r="E852" i="3"/>
  <c r="H852" i="3" s="1"/>
  <c r="K852" i="3" s="1"/>
  <c r="AE852" i="3" s="1"/>
  <c r="D852" i="3"/>
  <c r="F852" i="3" l="1"/>
  <c r="G852" i="3"/>
  <c r="I852" i="3" s="1"/>
  <c r="V852" i="3"/>
  <c r="A853" i="3"/>
  <c r="B853" i="3" s="1"/>
  <c r="M852" i="3" l="1"/>
  <c r="N852" i="3" s="1"/>
  <c r="J852" i="3"/>
  <c r="W852" i="3"/>
  <c r="AC853" i="3"/>
  <c r="Z853" i="3"/>
  <c r="P853" i="3"/>
  <c r="Q853" i="3" s="1"/>
  <c r="R853" i="3" s="1"/>
  <c r="S853" i="3" s="1"/>
  <c r="AA853" i="3"/>
  <c r="L852" i="3" l="1"/>
  <c r="U852" i="3" s="1"/>
  <c r="AD852" i="3"/>
  <c r="T853" i="3"/>
  <c r="Y851" i="3" l="1"/>
  <c r="AH853" i="3"/>
  <c r="AG853" i="3"/>
  <c r="E853" i="3"/>
  <c r="H853" i="3" s="1"/>
  <c r="K853" i="3" s="1"/>
  <c r="AE853" i="3" s="1"/>
  <c r="D853" i="3"/>
  <c r="F853" i="3" l="1"/>
  <c r="G853" i="3"/>
  <c r="I853" i="3" s="1"/>
  <c r="V853" i="3"/>
  <c r="A854" i="3"/>
  <c r="B854" i="3" s="1"/>
  <c r="M853" i="3" l="1"/>
  <c r="N853" i="3" s="1"/>
  <c r="J853" i="3"/>
  <c r="W853" i="3"/>
  <c r="Z854" i="3"/>
  <c r="P854" i="3"/>
  <c r="Q854" i="3" s="1"/>
  <c r="R854" i="3" s="1"/>
  <c r="S854" i="3" s="1"/>
  <c r="AA854" i="3"/>
  <c r="AC854" i="3"/>
  <c r="L853" i="3" l="1"/>
  <c r="U853" i="3" s="1"/>
  <c r="AD853" i="3"/>
  <c r="T854" i="3"/>
  <c r="Y852" i="3" l="1"/>
  <c r="AG854" i="3"/>
  <c r="AH854" i="3"/>
  <c r="D854" i="3"/>
  <c r="G854" i="3" s="1"/>
  <c r="E854" i="3"/>
  <c r="H854" i="3" s="1"/>
  <c r="K854" i="3" s="1"/>
  <c r="AE854" i="3" s="1"/>
  <c r="F854" i="3" l="1"/>
  <c r="I854" i="3"/>
  <c r="J854" i="3"/>
  <c r="AD854" i="3" s="1"/>
  <c r="M854" i="3"/>
  <c r="N854" i="3" s="1"/>
  <c r="V854" i="3"/>
  <c r="A855" i="3"/>
  <c r="B855" i="3" s="1"/>
  <c r="W854" i="3" l="1"/>
  <c r="P855" i="3"/>
  <c r="Q855" i="3" s="1"/>
  <c r="R855" i="3" s="1"/>
  <c r="S855" i="3" s="1"/>
  <c r="AA855" i="3"/>
  <c r="AC855" i="3"/>
  <c r="Z855" i="3"/>
  <c r="L854" i="3"/>
  <c r="U854" i="3" l="1"/>
  <c r="Y853" i="3"/>
  <c r="T855" i="3"/>
  <c r="AH855" i="3" s="1"/>
  <c r="AG855" i="3" l="1"/>
  <c r="D855" i="3"/>
  <c r="E855" i="3"/>
  <c r="H855" i="3" s="1"/>
  <c r="F855" i="3" l="1"/>
  <c r="G855" i="3"/>
  <c r="K855" i="3"/>
  <c r="AE855" i="3" s="1"/>
  <c r="V855" i="3" l="1"/>
  <c r="A856" i="3"/>
  <c r="B856" i="3" s="1"/>
  <c r="I855" i="3"/>
  <c r="J855" i="3"/>
  <c r="AD855" i="3" s="1"/>
  <c r="M855" i="3"/>
  <c r="N855" i="3" s="1"/>
  <c r="L855" i="3" l="1"/>
  <c r="AA856" i="3"/>
  <c r="Z856" i="3"/>
  <c r="AC856" i="3"/>
  <c r="P856" i="3"/>
  <c r="Q856" i="3" s="1"/>
  <c r="R856" i="3" s="1"/>
  <c r="S856" i="3" s="1"/>
  <c r="W855" i="3"/>
  <c r="T856" i="3" l="1"/>
  <c r="AG856" i="3" s="1"/>
  <c r="U855" i="3"/>
  <c r="Y854" i="3"/>
  <c r="E856" i="3" l="1"/>
  <c r="H856" i="3" s="1"/>
  <c r="K856" i="3" s="1"/>
  <c r="AE856" i="3" s="1"/>
  <c r="AH856" i="3"/>
  <c r="D856" i="3"/>
  <c r="F856" i="3" l="1"/>
  <c r="G856" i="3"/>
  <c r="V856" i="3"/>
  <c r="A857" i="3"/>
  <c r="B857" i="3" s="1"/>
  <c r="AC857" i="3" l="1"/>
  <c r="Z857" i="3"/>
  <c r="AA857" i="3"/>
  <c r="P857" i="3"/>
  <c r="Q857" i="3" s="1"/>
  <c r="R857" i="3" s="1"/>
  <c r="S857" i="3" s="1"/>
  <c r="I856" i="3"/>
  <c r="W856" i="3" s="1"/>
  <c r="J856" i="3"/>
  <c r="AD856" i="3" s="1"/>
  <c r="M856" i="3"/>
  <c r="N856" i="3" s="1"/>
  <c r="T857" i="3" l="1"/>
  <c r="L856" i="3"/>
  <c r="U856" i="3" l="1"/>
  <c r="E857" i="3" s="1"/>
  <c r="H857" i="3" s="1"/>
  <c r="AH857" i="3"/>
  <c r="AG857" i="3"/>
  <c r="Y855" i="3"/>
  <c r="D857" i="3" l="1"/>
  <c r="F857" i="3" s="1"/>
  <c r="K857" i="3"/>
  <c r="AE857" i="3" s="1"/>
  <c r="G857" i="3" l="1"/>
  <c r="M857" i="3" s="1"/>
  <c r="N857" i="3" s="1"/>
  <c r="V857" i="3"/>
  <c r="A858" i="3"/>
  <c r="B858" i="3" s="1"/>
  <c r="J857" i="3" l="1"/>
  <c r="I857" i="3"/>
  <c r="W857" i="3" s="1"/>
  <c r="Z858" i="3"/>
  <c r="AA858" i="3"/>
  <c r="P858" i="3"/>
  <c r="Q858" i="3" s="1"/>
  <c r="R858" i="3" s="1"/>
  <c r="S858" i="3" s="1"/>
  <c r="AC858" i="3"/>
  <c r="L857" i="3" l="1"/>
  <c r="U857" i="3" s="1"/>
  <c r="AD857" i="3"/>
  <c r="T858" i="3"/>
  <c r="AG858" i="3" l="1"/>
  <c r="Y856" i="3"/>
  <c r="D858" i="3"/>
  <c r="G858" i="3" s="1"/>
  <c r="AH858" i="3"/>
  <c r="E858" i="3"/>
  <c r="H858" i="3" s="1"/>
  <c r="K858" i="3" s="1"/>
  <c r="AE858" i="3" s="1"/>
  <c r="F858" i="3" l="1"/>
  <c r="I858" i="3"/>
  <c r="J858" i="3"/>
  <c r="AD858" i="3" s="1"/>
  <c r="M858" i="3"/>
  <c r="N858" i="3" s="1"/>
  <c r="V858" i="3"/>
  <c r="A859" i="3"/>
  <c r="B859" i="3" s="1"/>
  <c r="W858" i="3" l="1"/>
  <c r="Z859" i="3"/>
  <c r="AC859" i="3"/>
  <c r="P859" i="3"/>
  <c r="Q859" i="3" s="1"/>
  <c r="R859" i="3" s="1"/>
  <c r="S859" i="3" s="1"/>
  <c r="AA859" i="3"/>
  <c r="L858" i="3"/>
  <c r="T859" i="3" l="1"/>
  <c r="AG859" i="3" s="1"/>
  <c r="U858" i="3"/>
  <c r="Y857" i="3"/>
  <c r="D859" i="3" l="1"/>
  <c r="G859" i="3" s="1"/>
  <c r="AH859" i="3"/>
  <c r="E859" i="3"/>
  <c r="H859" i="3" s="1"/>
  <c r="K859" i="3" s="1"/>
  <c r="AE859" i="3" s="1"/>
  <c r="F859" i="3" l="1"/>
  <c r="V859" i="3"/>
  <c r="A860" i="3"/>
  <c r="B860" i="3" s="1"/>
  <c r="I859" i="3"/>
  <c r="J859" i="3"/>
  <c r="AD859" i="3" s="1"/>
  <c r="M859" i="3"/>
  <c r="N859" i="3" s="1"/>
  <c r="P860" i="3" l="1"/>
  <c r="Q860" i="3" s="1"/>
  <c r="R860" i="3" s="1"/>
  <c r="S860" i="3" s="1"/>
  <c r="Z860" i="3"/>
  <c r="AA860" i="3"/>
  <c r="AC860" i="3"/>
  <c r="L859" i="3"/>
  <c r="W859" i="3"/>
  <c r="U859" i="3" l="1"/>
  <c r="Y858" i="3"/>
  <c r="T860" i="3"/>
  <c r="AH860" i="3" s="1"/>
  <c r="D860" i="3" l="1"/>
  <c r="E860" i="3"/>
  <c r="H860" i="3" s="1"/>
  <c r="AG860" i="3"/>
  <c r="K860" i="3" l="1"/>
  <c r="AE860" i="3" s="1"/>
  <c r="F860" i="3"/>
  <c r="G860" i="3"/>
  <c r="I860" i="3" l="1"/>
  <c r="J860" i="3"/>
  <c r="AD860" i="3" s="1"/>
  <c r="M860" i="3"/>
  <c r="N860" i="3" s="1"/>
  <c r="V860" i="3"/>
  <c r="A861" i="3"/>
  <c r="B861" i="3" s="1"/>
  <c r="W860" i="3" l="1"/>
  <c r="AA861" i="3"/>
  <c r="Z861" i="3"/>
  <c r="AC861" i="3"/>
  <c r="P861" i="3"/>
  <c r="Q861" i="3" s="1"/>
  <c r="R861" i="3" s="1"/>
  <c r="S861" i="3" s="1"/>
  <c r="L860" i="3"/>
  <c r="T861" i="3" l="1"/>
  <c r="AG861" i="3" s="1"/>
  <c r="U860" i="3"/>
  <c r="Y859" i="3"/>
  <c r="D861" i="3" l="1"/>
  <c r="G861" i="3" s="1"/>
  <c r="E861" i="3"/>
  <c r="H861" i="3" s="1"/>
  <c r="K861" i="3" s="1"/>
  <c r="AE861" i="3" s="1"/>
  <c r="AH861" i="3"/>
  <c r="F861" i="3" l="1"/>
  <c r="I861" i="3"/>
  <c r="J861" i="3"/>
  <c r="AD861" i="3" s="1"/>
  <c r="M861" i="3"/>
  <c r="N861" i="3" s="1"/>
  <c r="V861" i="3"/>
  <c r="A862" i="3"/>
  <c r="B862" i="3" s="1"/>
  <c r="W861" i="3" l="1"/>
  <c r="Z862" i="3"/>
  <c r="AC862" i="3"/>
  <c r="AA862" i="3"/>
  <c r="P862" i="3"/>
  <c r="Q862" i="3" s="1"/>
  <c r="R862" i="3" s="1"/>
  <c r="S862" i="3" s="1"/>
  <c r="L861" i="3"/>
  <c r="T862" i="3" l="1"/>
  <c r="AG862" i="3" s="1"/>
  <c r="U861" i="3"/>
  <c r="Y860" i="3"/>
  <c r="AH862" i="3" l="1"/>
  <c r="D862" i="3"/>
  <c r="E862" i="3"/>
  <c r="H862" i="3" s="1"/>
  <c r="K862" i="3" s="1"/>
  <c r="AE862" i="3" s="1"/>
  <c r="F862" i="3" l="1"/>
  <c r="G862" i="3"/>
  <c r="I862" i="3" s="1"/>
  <c r="V862" i="3"/>
  <c r="A863" i="3"/>
  <c r="B863" i="3" s="1"/>
  <c r="W862" i="3" l="1"/>
  <c r="M862" i="3"/>
  <c r="N862" i="3" s="1"/>
  <c r="J862" i="3"/>
  <c r="AC863" i="3"/>
  <c r="Z863" i="3"/>
  <c r="P863" i="3"/>
  <c r="Q863" i="3" s="1"/>
  <c r="R863" i="3" s="1"/>
  <c r="S863" i="3" s="1"/>
  <c r="AA863" i="3"/>
  <c r="L862" i="3" l="1"/>
  <c r="U862" i="3" s="1"/>
  <c r="AD862" i="3"/>
  <c r="T863" i="3"/>
  <c r="AG863" i="3" l="1"/>
  <c r="Y861" i="3"/>
  <c r="AH863" i="3"/>
  <c r="E863" i="3"/>
  <c r="H863" i="3" s="1"/>
  <c r="K863" i="3" s="1"/>
  <c r="AE863" i="3" s="1"/>
  <c r="D863" i="3"/>
  <c r="F863" i="3" l="1"/>
  <c r="G863" i="3"/>
  <c r="I863" i="3" s="1"/>
  <c r="V863" i="3"/>
  <c r="A864" i="3"/>
  <c r="B864" i="3" s="1"/>
  <c r="M863" i="3" l="1"/>
  <c r="N863" i="3" s="1"/>
  <c r="J863" i="3"/>
  <c r="W863" i="3"/>
  <c r="AC864" i="3"/>
  <c r="AA864" i="3"/>
  <c r="Z864" i="3"/>
  <c r="P864" i="3"/>
  <c r="Q864" i="3" s="1"/>
  <c r="R864" i="3" s="1"/>
  <c r="S864" i="3" s="1"/>
  <c r="L863" i="3" l="1"/>
  <c r="U863" i="3" s="1"/>
  <c r="AD863" i="3"/>
  <c r="T864" i="3"/>
  <c r="AH864" i="3" l="1"/>
  <c r="Y862" i="3"/>
  <c r="AG864" i="3"/>
  <c r="E864" i="3"/>
  <c r="H864" i="3" s="1"/>
  <c r="K864" i="3" s="1"/>
  <c r="AE864" i="3" s="1"/>
  <c r="D864" i="3"/>
  <c r="F864" i="3" l="1"/>
  <c r="G864" i="3"/>
  <c r="I864" i="3" s="1"/>
  <c r="V864" i="3"/>
  <c r="A865" i="3"/>
  <c r="B865" i="3" s="1"/>
  <c r="M864" i="3" l="1"/>
  <c r="N864" i="3" s="1"/>
  <c r="J864" i="3"/>
  <c r="AC865" i="3"/>
  <c r="Z865" i="3"/>
  <c r="AA865" i="3"/>
  <c r="P865" i="3"/>
  <c r="Q865" i="3" s="1"/>
  <c r="R865" i="3" s="1"/>
  <c r="S865" i="3" s="1"/>
  <c r="W864" i="3"/>
  <c r="L864" i="3" l="1"/>
  <c r="U864" i="3" s="1"/>
  <c r="AD864" i="3"/>
  <c r="T865" i="3"/>
  <c r="Y863" i="3" l="1"/>
  <c r="AG865" i="3"/>
  <c r="D865" i="3"/>
  <c r="G865" i="3" s="1"/>
  <c r="AH865" i="3"/>
  <c r="E865" i="3"/>
  <c r="H865" i="3" s="1"/>
  <c r="K865" i="3" s="1"/>
  <c r="AE865" i="3" s="1"/>
  <c r="F865" i="3" l="1"/>
  <c r="V865" i="3"/>
  <c r="A866" i="3"/>
  <c r="B866" i="3" s="1"/>
  <c r="I865" i="3"/>
  <c r="J865" i="3"/>
  <c r="AD865" i="3" s="1"/>
  <c r="M865" i="3"/>
  <c r="N865" i="3" s="1"/>
  <c r="L865" i="3" l="1"/>
  <c r="AC866" i="3"/>
  <c r="P866" i="3"/>
  <c r="Q866" i="3" s="1"/>
  <c r="R866" i="3" s="1"/>
  <c r="S866" i="3" s="1"/>
  <c r="AA866" i="3"/>
  <c r="Z866" i="3"/>
  <c r="W865" i="3"/>
  <c r="T866" i="3" l="1"/>
  <c r="AG866" i="3" s="1"/>
  <c r="U865" i="3"/>
  <c r="Y864" i="3"/>
  <c r="E866" i="3" l="1"/>
  <c r="H866" i="3" s="1"/>
  <c r="K866" i="3" s="1"/>
  <c r="AE866" i="3" s="1"/>
  <c r="AH866" i="3"/>
  <c r="D866" i="3"/>
  <c r="F866" i="3" l="1"/>
  <c r="G866" i="3"/>
  <c r="I866" i="3" s="1"/>
  <c r="V866" i="3"/>
  <c r="A867" i="3"/>
  <c r="B867" i="3" s="1"/>
  <c r="M866" i="3" l="1"/>
  <c r="N866" i="3" s="1"/>
  <c r="J866" i="3"/>
  <c r="W866" i="3"/>
  <c r="AC867" i="3"/>
  <c r="AA867" i="3"/>
  <c r="P867" i="3"/>
  <c r="Q867" i="3" s="1"/>
  <c r="R867" i="3" s="1"/>
  <c r="S867" i="3" s="1"/>
  <c r="Z867" i="3"/>
  <c r="L866" i="3" l="1"/>
  <c r="U866" i="3" s="1"/>
  <c r="AD866" i="3"/>
  <c r="T867" i="3"/>
  <c r="Y865" i="3" l="1"/>
  <c r="AG867" i="3"/>
  <c r="AH867" i="3"/>
  <c r="D867" i="3"/>
  <c r="G867" i="3" s="1"/>
  <c r="E867" i="3"/>
  <c r="H867" i="3" s="1"/>
  <c r="K867" i="3" s="1"/>
  <c r="AE867" i="3" s="1"/>
  <c r="F867" i="3" l="1"/>
  <c r="V867" i="3"/>
  <c r="A868" i="3"/>
  <c r="B868" i="3" s="1"/>
  <c r="I867" i="3"/>
  <c r="J867" i="3"/>
  <c r="AD867" i="3" s="1"/>
  <c r="M867" i="3"/>
  <c r="N867" i="3" s="1"/>
  <c r="P868" i="3" l="1"/>
  <c r="Q868" i="3" s="1"/>
  <c r="R868" i="3" s="1"/>
  <c r="S868" i="3" s="1"/>
  <c r="AA868" i="3"/>
  <c r="Z868" i="3"/>
  <c r="AC868" i="3"/>
  <c r="L867" i="3"/>
  <c r="W867" i="3"/>
  <c r="U867" i="3" l="1"/>
  <c r="Y866" i="3"/>
  <c r="T868" i="3"/>
  <c r="D868" i="3" l="1"/>
  <c r="G868" i="3" s="1"/>
  <c r="AH868" i="3"/>
  <c r="AG868" i="3"/>
  <c r="E868" i="3"/>
  <c r="H868" i="3" s="1"/>
  <c r="K868" i="3" s="1"/>
  <c r="AE868" i="3" s="1"/>
  <c r="F868" i="3" l="1"/>
  <c r="V868" i="3"/>
  <c r="A869" i="3"/>
  <c r="B869" i="3" s="1"/>
  <c r="I868" i="3"/>
  <c r="J868" i="3"/>
  <c r="AD868" i="3" s="1"/>
  <c r="M868" i="3"/>
  <c r="N868" i="3" s="1"/>
  <c r="L868" i="3" l="1"/>
  <c r="Z869" i="3"/>
  <c r="P869" i="3"/>
  <c r="Q869" i="3" s="1"/>
  <c r="R869" i="3" s="1"/>
  <c r="S869" i="3" s="1"/>
  <c r="AC869" i="3"/>
  <c r="AA869" i="3"/>
  <c r="W868" i="3"/>
  <c r="T869" i="3" l="1"/>
  <c r="AH869" i="3" s="1"/>
  <c r="U868" i="3"/>
  <c r="Y867" i="3"/>
  <c r="AG869" i="3" l="1"/>
  <c r="E869" i="3"/>
  <c r="H869" i="3" s="1"/>
  <c r="K869" i="3" s="1"/>
  <c r="AE869" i="3" s="1"/>
  <c r="D869" i="3"/>
  <c r="F869" i="3" l="1"/>
  <c r="G869" i="3"/>
  <c r="I869" i="3" s="1"/>
  <c r="V869" i="3"/>
  <c r="A870" i="3"/>
  <c r="B870" i="3" s="1"/>
  <c r="W869" i="3" l="1"/>
  <c r="M869" i="3"/>
  <c r="N869" i="3" s="1"/>
  <c r="J869" i="3"/>
  <c r="Z870" i="3"/>
  <c r="AA870" i="3"/>
  <c r="AC870" i="3"/>
  <c r="P870" i="3"/>
  <c r="Q870" i="3" s="1"/>
  <c r="R870" i="3" s="1"/>
  <c r="S870" i="3" s="1"/>
  <c r="L869" i="3" l="1"/>
  <c r="U869" i="3" s="1"/>
  <c r="AD869" i="3"/>
  <c r="T870" i="3"/>
  <c r="Y868" i="3" l="1"/>
  <c r="AG870" i="3"/>
  <c r="D870" i="3"/>
  <c r="G870" i="3" s="1"/>
  <c r="AH870" i="3"/>
  <c r="E870" i="3"/>
  <c r="H870" i="3" s="1"/>
  <c r="K870" i="3" s="1"/>
  <c r="AE870" i="3" s="1"/>
  <c r="F870" i="3" l="1"/>
  <c r="I870" i="3"/>
  <c r="J870" i="3"/>
  <c r="AD870" i="3" s="1"/>
  <c r="M870" i="3"/>
  <c r="N870" i="3" s="1"/>
  <c r="V870" i="3"/>
  <c r="A871" i="3"/>
  <c r="B871" i="3" s="1"/>
  <c r="W870" i="3" l="1"/>
  <c r="P871" i="3"/>
  <c r="Q871" i="3" s="1"/>
  <c r="R871" i="3" s="1"/>
  <c r="S871" i="3" s="1"/>
  <c r="AA871" i="3"/>
  <c r="AC871" i="3"/>
  <c r="Z871" i="3"/>
  <c r="L870" i="3"/>
  <c r="T871" i="3" l="1"/>
  <c r="AH871" i="3" s="1"/>
  <c r="U870" i="3"/>
  <c r="Y869" i="3"/>
  <c r="AG871" i="3" l="1"/>
  <c r="E871" i="3"/>
  <c r="H871" i="3" s="1"/>
  <c r="K871" i="3" s="1"/>
  <c r="AE871" i="3" s="1"/>
  <c r="D871" i="3"/>
  <c r="F871" i="3" l="1"/>
  <c r="G871" i="3"/>
  <c r="J871" i="3" s="1"/>
  <c r="AD871" i="3" s="1"/>
  <c r="V871" i="3"/>
  <c r="A872" i="3"/>
  <c r="B872" i="3" s="1"/>
  <c r="I871" i="3" l="1"/>
  <c r="W871" i="3" s="1"/>
  <c r="M871" i="3"/>
  <c r="N871" i="3" s="1"/>
  <c r="Z872" i="3"/>
  <c r="AC872" i="3"/>
  <c r="AA872" i="3"/>
  <c r="P872" i="3"/>
  <c r="Q872" i="3" s="1"/>
  <c r="R872" i="3" s="1"/>
  <c r="S872" i="3" s="1"/>
  <c r="L871" i="3"/>
  <c r="T872" i="3" l="1"/>
  <c r="AG872" i="3" s="1"/>
  <c r="U871" i="3"/>
  <c r="Y870" i="3"/>
  <c r="E872" i="3" l="1"/>
  <c r="H872" i="3" s="1"/>
  <c r="K872" i="3" s="1"/>
  <c r="AE872" i="3" s="1"/>
  <c r="AH872" i="3"/>
  <c r="D872" i="3"/>
  <c r="F872" i="3" l="1"/>
  <c r="G872" i="3"/>
  <c r="I872" i="3" s="1"/>
  <c r="V872" i="3"/>
  <c r="A873" i="3"/>
  <c r="B873" i="3" s="1"/>
  <c r="J872" i="3" l="1"/>
  <c r="M872" i="3"/>
  <c r="N872" i="3" s="1"/>
  <c r="W872" i="3"/>
  <c r="Z873" i="3"/>
  <c r="AA873" i="3"/>
  <c r="P873" i="3"/>
  <c r="Q873" i="3" s="1"/>
  <c r="R873" i="3" s="1"/>
  <c r="S873" i="3" s="1"/>
  <c r="AC873" i="3"/>
  <c r="L872" i="3" l="1"/>
  <c r="U872" i="3" s="1"/>
  <c r="AD872" i="3"/>
  <c r="T873" i="3"/>
  <c r="Y871" i="3" l="1"/>
  <c r="AG873" i="3"/>
  <c r="D873" i="3"/>
  <c r="G873" i="3" s="1"/>
  <c r="AH873" i="3"/>
  <c r="E873" i="3"/>
  <c r="H873" i="3" s="1"/>
  <c r="K873" i="3" s="1"/>
  <c r="AE873" i="3" s="1"/>
  <c r="F873" i="3" l="1"/>
  <c r="V873" i="3"/>
  <c r="A874" i="3"/>
  <c r="B874" i="3" s="1"/>
  <c r="I873" i="3"/>
  <c r="J873" i="3"/>
  <c r="AD873" i="3" s="1"/>
  <c r="M873" i="3"/>
  <c r="N873" i="3" s="1"/>
  <c r="Z874" i="3" l="1"/>
  <c r="P874" i="3"/>
  <c r="Q874" i="3" s="1"/>
  <c r="R874" i="3" s="1"/>
  <c r="S874" i="3" s="1"/>
  <c r="AA874" i="3"/>
  <c r="AC874" i="3"/>
  <c r="L873" i="3"/>
  <c r="W873" i="3"/>
  <c r="U873" i="3" l="1"/>
  <c r="Y872" i="3"/>
  <c r="T874" i="3"/>
  <c r="D874" i="3" l="1"/>
  <c r="G874" i="3" s="1"/>
  <c r="AG874" i="3"/>
  <c r="AH874" i="3"/>
  <c r="E874" i="3"/>
  <c r="H874" i="3" s="1"/>
  <c r="K874" i="3" l="1"/>
  <c r="AE874" i="3" s="1"/>
  <c r="I874" i="3"/>
  <c r="J874" i="3"/>
  <c r="AD874" i="3" s="1"/>
  <c r="M874" i="3"/>
  <c r="N874" i="3" s="1"/>
  <c r="F874" i="3"/>
  <c r="L874" i="3" l="1"/>
  <c r="V874" i="3"/>
  <c r="W874" i="3" s="1"/>
  <c r="A875" i="3"/>
  <c r="B875" i="3" s="1"/>
  <c r="AC875" i="3" l="1"/>
  <c r="Z875" i="3"/>
  <c r="P875" i="3"/>
  <c r="Q875" i="3" s="1"/>
  <c r="R875" i="3" s="1"/>
  <c r="S875" i="3" s="1"/>
  <c r="AA875" i="3"/>
  <c r="U874" i="3"/>
  <c r="Y873" i="3"/>
  <c r="T875" i="3" l="1"/>
  <c r="AH875" i="3" s="1"/>
  <c r="AG875" i="3" l="1"/>
  <c r="E875" i="3"/>
  <c r="H875" i="3" s="1"/>
  <c r="K875" i="3" s="1"/>
  <c r="AE875" i="3" s="1"/>
  <c r="D875" i="3"/>
  <c r="F875" i="3" l="1"/>
  <c r="G875" i="3"/>
  <c r="I875" i="3" s="1"/>
  <c r="V875" i="3"/>
  <c r="A876" i="3"/>
  <c r="B876" i="3" s="1"/>
  <c r="M875" i="3" l="1"/>
  <c r="N875" i="3" s="1"/>
  <c r="J875" i="3"/>
  <c r="W875" i="3"/>
  <c r="AC876" i="3"/>
  <c r="Z876" i="3"/>
  <c r="AA876" i="3"/>
  <c r="P876" i="3"/>
  <c r="Q876" i="3" s="1"/>
  <c r="R876" i="3" s="1"/>
  <c r="S876" i="3" s="1"/>
  <c r="L875" i="3" l="1"/>
  <c r="U875" i="3" s="1"/>
  <c r="AD875" i="3"/>
  <c r="T876" i="3"/>
  <c r="Y874" i="3" l="1"/>
  <c r="AH876" i="3"/>
  <c r="E876" i="3"/>
  <c r="H876" i="3" s="1"/>
  <c r="K876" i="3" s="1"/>
  <c r="AE876" i="3" s="1"/>
  <c r="AG876" i="3"/>
  <c r="D876" i="3"/>
  <c r="F876" i="3" l="1"/>
  <c r="G876" i="3"/>
  <c r="I876" i="3" s="1"/>
  <c r="V876" i="3"/>
  <c r="A877" i="3"/>
  <c r="B877" i="3" s="1"/>
  <c r="W876" i="3" l="1"/>
  <c r="M876" i="3"/>
  <c r="N876" i="3" s="1"/>
  <c r="J876" i="3"/>
  <c r="AA877" i="3"/>
  <c r="P877" i="3"/>
  <c r="Q877" i="3" s="1"/>
  <c r="R877" i="3" s="1"/>
  <c r="S877" i="3" s="1"/>
  <c r="AC877" i="3"/>
  <c r="Z877" i="3"/>
  <c r="L876" i="3" l="1"/>
  <c r="U876" i="3" s="1"/>
  <c r="AD876" i="3"/>
  <c r="T877" i="3"/>
  <c r="AG877" i="3" l="1"/>
  <c r="Y875" i="3"/>
  <c r="E877" i="3"/>
  <c r="H877" i="3" s="1"/>
  <c r="K877" i="3" s="1"/>
  <c r="AE877" i="3" s="1"/>
  <c r="AH877" i="3"/>
  <c r="D877" i="3"/>
  <c r="F877" i="3" l="1"/>
  <c r="G877" i="3"/>
  <c r="V877" i="3"/>
  <c r="A878" i="3"/>
  <c r="B878" i="3" s="1"/>
  <c r="Z878" i="3" l="1"/>
  <c r="AC878" i="3"/>
  <c r="P878" i="3"/>
  <c r="Q878" i="3" s="1"/>
  <c r="R878" i="3" s="1"/>
  <c r="S878" i="3" s="1"/>
  <c r="AA878" i="3"/>
  <c r="I877" i="3"/>
  <c r="W877" i="3" s="1"/>
  <c r="J877" i="3"/>
  <c r="AD877" i="3" s="1"/>
  <c r="M877" i="3"/>
  <c r="N877" i="3" s="1"/>
  <c r="T878" i="3" l="1"/>
  <c r="L877" i="3"/>
  <c r="U877" i="3" l="1"/>
  <c r="E878" i="3" s="1"/>
  <c r="H878" i="3" s="1"/>
  <c r="AH878" i="3"/>
  <c r="AG878" i="3"/>
  <c r="Y876" i="3"/>
  <c r="D878" i="3" l="1"/>
  <c r="F878" i="3" s="1"/>
  <c r="K878" i="3"/>
  <c r="AE878" i="3" s="1"/>
  <c r="G878" i="3" l="1"/>
  <c r="I878" i="3" s="1"/>
  <c r="V878" i="3"/>
  <c r="A879" i="3"/>
  <c r="B879" i="3" s="1"/>
  <c r="M878" i="3" l="1"/>
  <c r="N878" i="3" s="1"/>
  <c r="J878" i="3"/>
  <c r="W878" i="3"/>
  <c r="AA879" i="3"/>
  <c r="Z879" i="3"/>
  <c r="P879" i="3"/>
  <c r="Q879" i="3" s="1"/>
  <c r="R879" i="3" s="1"/>
  <c r="S879" i="3" s="1"/>
  <c r="AC879" i="3"/>
  <c r="L878" i="3" l="1"/>
  <c r="U878" i="3" s="1"/>
  <c r="AD878" i="3"/>
  <c r="T879" i="3"/>
  <c r="Y877" i="3" l="1"/>
  <c r="AG879" i="3"/>
  <c r="D879" i="3"/>
  <c r="G879" i="3" s="1"/>
  <c r="AH879" i="3"/>
  <c r="E879" i="3"/>
  <c r="H879" i="3" s="1"/>
  <c r="K879" i="3" s="1"/>
  <c r="AE879" i="3" s="1"/>
  <c r="F879" i="3" l="1"/>
  <c r="I879" i="3"/>
  <c r="J879" i="3"/>
  <c r="AD879" i="3" s="1"/>
  <c r="M879" i="3"/>
  <c r="N879" i="3" s="1"/>
  <c r="V879" i="3"/>
  <c r="A880" i="3"/>
  <c r="B880" i="3" s="1"/>
  <c r="W879" i="3" l="1"/>
  <c r="P880" i="3"/>
  <c r="Q880" i="3" s="1"/>
  <c r="R880" i="3" s="1"/>
  <c r="S880" i="3" s="1"/>
  <c r="Z880" i="3"/>
  <c r="AC880" i="3"/>
  <c r="AA880" i="3"/>
  <c r="L879" i="3"/>
  <c r="U879" i="3" l="1"/>
  <c r="Y878" i="3"/>
  <c r="T880" i="3"/>
  <c r="E880" i="3" l="1"/>
  <c r="H880" i="3" s="1"/>
  <c r="K880" i="3" s="1"/>
  <c r="AE880" i="3" s="1"/>
  <c r="AH880" i="3"/>
  <c r="D880" i="3"/>
  <c r="AG880" i="3"/>
  <c r="F880" i="3" l="1"/>
  <c r="G880" i="3"/>
  <c r="V880" i="3"/>
  <c r="A881" i="3"/>
  <c r="B881" i="3" s="1"/>
  <c r="P881" i="3" l="1"/>
  <c r="Q881" i="3" s="1"/>
  <c r="R881" i="3" s="1"/>
  <c r="S881" i="3" s="1"/>
  <c r="AA881" i="3"/>
  <c r="Z881" i="3"/>
  <c r="AC881" i="3"/>
  <c r="I880" i="3"/>
  <c r="W880" i="3" s="1"/>
  <c r="J880" i="3"/>
  <c r="AD880" i="3" s="1"/>
  <c r="M880" i="3"/>
  <c r="N880" i="3" s="1"/>
  <c r="L880" i="3" l="1"/>
  <c r="T881" i="3"/>
  <c r="AG881" i="3" l="1"/>
  <c r="U880" i="3"/>
  <c r="E881" i="3" s="1"/>
  <c r="H881" i="3" s="1"/>
  <c r="AH881" i="3"/>
  <c r="Y879" i="3"/>
  <c r="D881" i="3" l="1"/>
  <c r="F881" i="3" s="1"/>
  <c r="K881" i="3"/>
  <c r="AE881" i="3" s="1"/>
  <c r="G881" i="3" l="1"/>
  <c r="I881" i="3" s="1"/>
  <c r="V881" i="3"/>
  <c r="A882" i="3"/>
  <c r="B882" i="3" s="1"/>
  <c r="M881" i="3" l="1"/>
  <c r="N881" i="3" s="1"/>
  <c r="J881" i="3"/>
  <c r="W881" i="3"/>
  <c r="Z882" i="3"/>
  <c r="P882" i="3"/>
  <c r="Q882" i="3" s="1"/>
  <c r="R882" i="3" s="1"/>
  <c r="S882" i="3" s="1"/>
  <c r="AC882" i="3"/>
  <c r="AA882" i="3"/>
  <c r="L881" i="3" l="1"/>
  <c r="U881" i="3" s="1"/>
  <c r="AD881" i="3"/>
  <c r="T882" i="3"/>
  <c r="Y880" i="3" l="1"/>
  <c r="AG882" i="3"/>
  <c r="E882" i="3"/>
  <c r="H882" i="3" s="1"/>
  <c r="K882" i="3" s="1"/>
  <c r="AE882" i="3" s="1"/>
  <c r="AH882" i="3"/>
  <c r="D882" i="3"/>
  <c r="F882" i="3" l="1"/>
  <c r="G882" i="3"/>
  <c r="I882" i="3" s="1"/>
  <c r="V882" i="3"/>
  <c r="A883" i="3"/>
  <c r="B883" i="3" s="1"/>
  <c r="M882" i="3" l="1"/>
  <c r="N882" i="3" s="1"/>
  <c r="J882" i="3"/>
  <c r="W882" i="3"/>
  <c r="P883" i="3"/>
  <c r="Q883" i="3" s="1"/>
  <c r="R883" i="3" s="1"/>
  <c r="S883" i="3" s="1"/>
  <c r="AC883" i="3"/>
  <c r="AA883" i="3"/>
  <c r="Z883" i="3"/>
  <c r="L882" i="3" l="1"/>
  <c r="U882" i="3" s="1"/>
  <c r="AD882" i="3"/>
  <c r="T883" i="3"/>
  <c r="Y881" i="3" l="1"/>
  <c r="AG883" i="3"/>
  <c r="D883" i="3"/>
  <c r="G883" i="3" s="1"/>
  <c r="AH883" i="3"/>
  <c r="E883" i="3"/>
  <c r="H883" i="3" s="1"/>
  <c r="K883" i="3" l="1"/>
  <c r="AE883" i="3" s="1"/>
  <c r="I883" i="3"/>
  <c r="J883" i="3"/>
  <c r="AD883" i="3" s="1"/>
  <c r="M883" i="3"/>
  <c r="N883" i="3" s="1"/>
  <c r="F883" i="3"/>
  <c r="L883" i="3" l="1"/>
  <c r="V883" i="3"/>
  <c r="W883" i="3" s="1"/>
  <c r="A884" i="3"/>
  <c r="B884" i="3" s="1"/>
  <c r="P884" i="3" l="1"/>
  <c r="Q884" i="3" s="1"/>
  <c r="R884" i="3" s="1"/>
  <c r="S884" i="3" s="1"/>
  <c r="Z884" i="3"/>
  <c r="AC884" i="3"/>
  <c r="AA884" i="3"/>
  <c r="U883" i="3"/>
  <c r="Y882" i="3"/>
  <c r="T884" i="3" l="1"/>
  <c r="AH884" i="3" l="1"/>
  <c r="AG884" i="3"/>
  <c r="E884" i="3"/>
  <c r="H884" i="3" s="1"/>
  <c r="D884" i="3"/>
  <c r="F884" i="3" l="1"/>
  <c r="G884" i="3"/>
  <c r="K884" i="3"/>
  <c r="AE884" i="3" s="1"/>
  <c r="V884" i="3" l="1"/>
  <c r="A885" i="3"/>
  <c r="B885" i="3" s="1"/>
  <c r="I884" i="3"/>
  <c r="J884" i="3"/>
  <c r="AD884" i="3" s="1"/>
  <c r="M884" i="3"/>
  <c r="N884" i="3" s="1"/>
  <c r="AA885" i="3" l="1"/>
  <c r="P885" i="3"/>
  <c r="Q885" i="3" s="1"/>
  <c r="R885" i="3" s="1"/>
  <c r="S885" i="3" s="1"/>
  <c r="Z885" i="3"/>
  <c r="AC885" i="3"/>
  <c r="L884" i="3"/>
  <c r="W884" i="3"/>
  <c r="U884" i="3" l="1"/>
  <c r="Y883" i="3"/>
  <c r="T885" i="3"/>
  <c r="AG885" i="3" s="1"/>
  <c r="E885" i="3" l="1"/>
  <c r="H885" i="3" s="1"/>
  <c r="D885" i="3"/>
  <c r="AH885" i="3"/>
  <c r="F885" i="3" l="1"/>
  <c r="G885" i="3"/>
  <c r="K885" i="3"/>
  <c r="AE885" i="3" s="1"/>
  <c r="V885" i="3" l="1"/>
  <c r="A886" i="3"/>
  <c r="B886" i="3" s="1"/>
  <c r="I885" i="3"/>
  <c r="J885" i="3"/>
  <c r="AD885" i="3" s="1"/>
  <c r="M885" i="3"/>
  <c r="N885" i="3" s="1"/>
  <c r="L885" i="3" l="1"/>
  <c r="AC886" i="3"/>
  <c r="Z886" i="3"/>
  <c r="AA886" i="3"/>
  <c r="P886" i="3"/>
  <c r="Q886" i="3" s="1"/>
  <c r="R886" i="3" s="1"/>
  <c r="S886" i="3" s="1"/>
  <c r="W885" i="3"/>
  <c r="T886" i="3" l="1"/>
  <c r="AG886" i="3" s="1"/>
  <c r="U885" i="3"/>
  <c r="Y884" i="3"/>
  <c r="D886" i="3" l="1"/>
  <c r="G886" i="3" s="1"/>
  <c r="AH886" i="3"/>
  <c r="E886" i="3"/>
  <c r="H886" i="3" s="1"/>
  <c r="K886" i="3" s="1"/>
  <c r="AE886" i="3" s="1"/>
  <c r="F886" i="3" l="1"/>
  <c r="V886" i="3"/>
  <c r="A887" i="3"/>
  <c r="B887" i="3" s="1"/>
  <c r="I886" i="3"/>
  <c r="J886" i="3"/>
  <c r="AD886" i="3" s="1"/>
  <c r="M886" i="3"/>
  <c r="N886" i="3" s="1"/>
  <c r="L886" i="3" l="1"/>
  <c r="P887" i="3"/>
  <c r="Q887" i="3" s="1"/>
  <c r="R887" i="3" s="1"/>
  <c r="S887" i="3" s="1"/>
  <c r="AA887" i="3"/>
  <c r="AC887" i="3"/>
  <c r="Z887" i="3"/>
  <c r="W886" i="3"/>
  <c r="T887" i="3" l="1"/>
  <c r="AH887" i="3" s="1"/>
  <c r="U886" i="3"/>
  <c r="Y885" i="3"/>
  <c r="AG887" i="3" l="1"/>
  <c r="D887" i="3"/>
  <c r="G887" i="3" s="1"/>
  <c r="E887" i="3"/>
  <c r="H887" i="3" s="1"/>
  <c r="K887" i="3" s="1"/>
  <c r="AE887" i="3" s="1"/>
  <c r="F887" i="3" l="1"/>
  <c r="V887" i="3"/>
  <c r="A888" i="3"/>
  <c r="B888" i="3" s="1"/>
  <c r="I887" i="3"/>
  <c r="J887" i="3"/>
  <c r="AD887" i="3" s="1"/>
  <c r="M887" i="3"/>
  <c r="N887" i="3" s="1"/>
  <c r="P888" i="3" l="1"/>
  <c r="Q888" i="3" s="1"/>
  <c r="R888" i="3" s="1"/>
  <c r="S888" i="3" s="1"/>
  <c r="Z888" i="3"/>
  <c r="AC888" i="3"/>
  <c r="AA888" i="3"/>
  <c r="L887" i="3"/>
  <c r="W887" i="3"/>
  <c r="T888" i="3" l="1"/>
  <c r="AG888" i="3" s="1"/>
  <c r="U887" i="3"/>
  <c r="Y886" i="3"/>
  <c r="E888" i="3" l="1"/>
  <c r="H888" i="3" s="1"/>
  <c r="K888" i="3" s="1"/>
  <c r="AE888" i="3" s="1"/>
  <c r="AH888" i="3"/>
  <c r="D888" i="3"/>
  <c r="F888" i="3" l="1"/>
  <c r="G888" i="3"/>
  <c r="I888" i="3" s="1"/>
  <c r="V888" i="3"/>
  <c r="A889" i="3"/>
  <c r="B889" i="3" s="1"/>
  <c r="M888" i="3" l="1"/>
  <c r="N888" i="3" s="1"/>
  <c r="J888" i="3"/>
  <c r="Z889" i="3"/>
  <c r="P889" i="3"/>
  <c r="Q889" i="3" s="1"/>
  <c r="R889" i="3" s="1"/>
  <c r="S889" i="3" s="1"/>
  <c r="AC889" i="3"/>
  <c r="AA889" i="3"/>
  <c r="W888" i="3"/>
  <c r="L888" i="3" l="1"/>
  <c r="U888" i="3" s="1"/>
  <c r="AD888" i="3"/>
  <c r="T889" i="3"/>
  <c r="Y887" i="3" l="1"/>
  <c r="AH889" i="3"/>
  <c r="E889" i="3"/>
  <c r="H889" i="3" s="1"/>
  <c r="K889" i="3" s="1"/>
  <c r="AE889" i="3" s="1"/>
  <c r="D889" i="3"/>
  <c r="G889" i="3" s="1"/>
  <c r="AG889" i="3"/>
  <c r="F889" i="3" l="1"/>
  <c r="I889" i="3"/>
  <c r="J889" i="3"/>
  <c r="AD889" i="3" s="1"/>
  <c r="M889" i="3"/>
  <c r="N889" i="3" s="1"/>
  <c r="V889" i="3"/>
  <c r="A890" i="3"/>
  <c r="B890" i="3" s="1"/>
  <c r="W889" i="3" l="1"/>
  <c r="L889" i="3"/>
  <c r="AA890" i="3"/>
  <c r="P890" i="3"/>
  <c r="Q890" i="3" s="1"/>
  <c r="R890" i="3" s="1"/>
  <c r="S890" i="3" s="1"/>
  <c r="Z890" i="3"/>
  <c r="AC890" i="3"/>
  <c r="T890" i="3" l="1"/>
  <c r="AH890" i="3" s="1"/>
  <c r="U889" i="3"/>
  <c r="Y888" i="3"/>
  <c r="D890" i="3" l="1"/>
  <c r="G890" i="3" s="1"/>
  <c r="AG890" i="3"/>
  <c r="E890" i="3"/>
  <c r="H890" i="3" s="1"/>
  <c r="K890" i="3" s="1"/>
  <c r="AE890" i="3" s="1"/>
  <c r="F890" i="3" l="1"/>
  <c r="V890" i="3"/>
  <c r="A891" i="3"/>
  <c r="B891" i="3" s="1"/>
  <c r="I890" i="3"/>
  <c r="J890" i="3"/>
  <c r="AD890" i="3" s="1"/>
  <c r="M890" i="3"/>
  <c r="N890" i="3" s="1"/>
  <c r="L890" i="3" l="1"/>
  <c r="AA891" i="3"/>
  <c r="P891" i="3"/>
  <c r="Q891" i="3" s="1"/>
  <c r="R891" i="3" s="1"/>
  <c r="S891" i="3" s="1"/>
  <c r="AC891" i="3"/>
  <c r="Z891" i="3"/>
  <c r="W890" i="3"/>
  <c r="T891" i="3" l="1"/>
  <c r="AH891" i="3" s="1"/>
  <c r="U890" i="3"/>
  <c r="Y889" i="3"/>
  <c r="AG891" i="3" l="1"/>
  <c r="E891" i="3"/>
  <c r="H891" i="3" s="1"/>
  <c r="K891" i="3" s="1"/>
  <c r="AE891" i="3" s="1"/>
  <c r="D891" i="3"/>
  <c r="F891" i="3" l="1"/>
  <c r="G891" i="3"/>
  <c r="I891" i="3" s="1"/>
  <c r="V891" i="3"/>
  <c r="A892" i="3"/>
  <c r="B892" i="3" s="1"/>
  <c r="M891" i="3" l="1"/>
  <c r="N891" i="3" s="1"/>
  <c r="J891" i="3"/>
  <c r="W891" i="3"/>
  <c r="AA892" i="3"/>
  <c r="Z892" i="3"/>
  <c r="AC892" i="3"/>
  <c r="P892" i="3"/>
  <c r="Q892" i="3" s="1"/>
  <c r="R892" i="3" s="1"/>
  <c r="S892" i="3" s="1"/>
  <c r="L891" i="3" l="1"/>
  <c r="U891" i="3" s="1"/>
  <c r="AD891" i="3"/>
  <c r="T892" i="3"/>
  <c r="Y890" i="3" l="1"/>
  <c r="AH892" i="3"/>
  <c r="AG892" i="3"/>
  <c r="D892" i="3"/>
  <c r="G892" i="3" s="1"/>
  <c r="E892" i="3"/>
  <c r="H892" i="3" s="1"/>
  <c r="K892" i="3" s="1"/>
  <c r="AE892" i="3" s="1"/>
  <c r="F892" i="3" l="1"/>
  <c r="V892" i="3"/>
  <c r="A893" i="3"/>
  <c r="B893" i="3" s="1"/>
  <c r="I892" i="3"/>
  <c r="J892" i="3"/>
  <c r="AD892" i="3" s="1"/>
  <c r="M892" i="3"/>
  <c r="N892" i="3" s="1"/>
  <c r="L892" i="3" l="1"/>
  <c r="Z893" i="3"/>
  <c r="AC893" i="3"/>
  <c r="P893" i="3"/>
  <c r="Q893" i="3" s="1"/>
  <c r="R893" i="3" s="1"/>
  <c r="S893" i="3" s="1"/>
  <c r="AA893" i="3"/>
  <c r="W892" i="3"/>
  <c r="U892" i="3" l="1"/>
  <c r="Y891" i="3"/>
  <c r="T893" i="3"/>
  <c r="AG893" i="3" s="1"/>
  <c r="E893" i="3" l="1"/>
  <c r="H893" i="3" s="1"/>
  <c r="AH893" i="3"/>
  <c r="D893" i="3"/>
  <c r="F893" i="3" l="1"/>
  <c r="G893" i="3"/>
  <c r="K893" i="3"/>
  <c r="AE893" i="3" s="1"/>
  <c r="V893" i="3" l="1"/>
  <c r="A894" i="3"/>
  <c r="B894" i="3" s="1"/>
  <c r="I893" i="3"/>
  <c r="J893" i="3"/>
  <c r="AD893" i="3" s="1"/>
  <c r="M893" i="3"/>
  <c r="N893" i="3" s="1"/>
  <c r="L893" i="3" l="1"/>
  <c r="P894" i="3"/>
  <c r="Q894" i="3" s="1"/>
  <c r="R894" i="3" s="1"/>
  <c r="S894" i="3" s="1"/>
  <c r="AC894" i="3"/>
  <c r="AA894" i="3"/>
  <c r="Z894" i="3"/>
  <c r="W893" i="3"/>
  <c r="T894" i="3" l="1"/>
  <c r="AH894" i="3" s="1"/>
  <c r="U893" i="3"/>
  <c r="Y892" i="3"/>
  <c r="D894" i="3" l="1"/>
  <c r="G894" i="3" s="1"/>
  <c r="E894" i="3"/>
  <c r="H894" i="3" s="1"/>
  <c r="K894" i="3" s="1"/>
  <c r="AE894" i="3" s="1"/>
  <c r="AG894" i="3"/>
  <c r="F894" i="3" l="1"/>
  <c r="V894" i="3"/>
  <c r="A895" i="3"/>
  <c r="B895" i="3" s="1"/>
  <c r="I894" i="3"/>
  <c r="J894" i="3"/>
  <c r="AD894" i="3" s="1"/>
  <c r="M894" i="3"/>
  <c r="N894" i="3" s="1"/>
  <c r="L894" i="3" l="1"/>
  <c r="AA895" i="3"/>
  <c r="P895" i="3"/>
  <c r="Q895" i="3" s="1"/>
  <c r="R895" i="3" s="1"/>
  <c r="S895" i="3" s="1"/>
  <c r="Z895" i="3"/>
  <c r="AC895" i="3"/>
  <c r="W894" i="3"/>
  <c r="U894" i="3" l="1"/>
  <c r="Y893" i="3"/>
  <c r="T895" i="3"/>
  <c r="E895" i="3" l="1"/>
  <c r="H895" i="3" s="1"/>
  <c r="K895" i="3" s="1"/>
  <c r="AE895" i="3" s="1"/>
  <c r="AG895" i="3"/>
  <c r="D895" i="3"/>
  <c r="AH895" i="3"/>
  <c r="F895" i="3" l="1"/>
  <c r="G895" i="3"/>
  <c r="V895" i="3"/>
  <c r="A896" i="3"/>
  <c r="B896" i="3" s="1"/>
  <c r="AA896" i="3" l="1"/>
  <c r="Z896" i="3"/>
  <c r="P896" i="3"/>
  <c r="Q896" i="3" s="1"/>
  <c r="R896" i="3" s="1"/>
  <c r="S896" i="3" s="1"/>
  <c r="AC896" i="3"/>
  <c r="I895" i="3"/>
  <c r="W895" i="3" s="1"/>
  <c r="J895" i="3"/>
  <c r="AD895" i="3" s="1"/>
  <c r="M895" i="3"/>
  <c r="N895" i="3" s="1"/>
  <c r="T896" i="3" l="1"/>
  <c r="L895" i="3"/>
  <c r="AG896" i="3" l="1"/>
  <c r="AH896" i="3"/>
  <c r="U895" i="3"/>
  <c r="D896" i="3" s="1"/>
  <c r="Y894" i="3"/>
  <c r="G896" i="3" l="1"/>
  <c r="E896" i="3"/>
  <c r="H896" i="3" s="1"/>
  <c r="K896" i="3" l="1"/>
  <c r="AE896" i="3" s="1"/>
  <c r="I896" i="3"/>
  <c r="J896" i="3"/>
  <c r="AD896" i="3" s="1"/>
  <c r="M896" i="3"/>
  <c r="N896" i="3" s="1"/>
  <c r="F896" i="3"/>
  <c r="L896" i="3" l="1"/>
  <c r="V896" i="3"/>
  <c r="W896" i="3" s="1"/>
  <c r="A897" i="3"/>
  <c r="B897" i="3" s="1"/>
  <c r="P897" i="3" l="1"/>
  <c r="Q897" i="3" s="1"/>
  <c r="R897" i="3" s="1"/>
  <c r="S897" i="3" s="1"/>
  <c r="AC897" i="3"/>
  <c r="AA897" i="3"/>
  <c r="Z897" i="3"/>
  <c r="U896" i="3"/>
  <c r="Y895" i="3"/>
  <c r="T897" i="3" l="1"/>
  <c r="AH897" i="3" s="1"/>
  <c r="AG897" i="3" l="1"/>
  <c r="E897" i="3"/>
  <c r="H897" i="3" s="1"/>
  <c r="D897" i="3"/>
  <c r="K897" i="3" l="1"/>
  <c r="AE897" i="3" s="1"/>
  <c r="F897" i="3"/>
  <c r="G897" i="3"/>
  <c r="I897" i="3" l="1"/>
  <c r="J897" i="3"/>
  <c r="AD897" i="3" s="1"/>
  <c r="M897" i="3"/>
  <c r="N897" i="3" s="1"/>
  <c r="V897" i="3"/>
  <c r="A898" i="3"/>
  <c r="B898" i="3" s="1"/>
  <c r="W897" i="3" l="1"/>
  <c r="P898" i="3"/>
  <c r="Q898" i="3" s="1"/>
  <c r="R898" i="3" s="1"/>
  <c r="S898" i="3" s="1"/>
  <c r="AA898" i="3"/>
  <c r="Z898" i="3"/>
  <c r="AC898" i="3"/>
  <c r="L897" i="3"/>
  <c r="U897" i="3" l="1"/>
  <c r="Y896" i="3"/>
  <c r="T898" i="3"/>
  <c r="AH898" i="3" s="1"/>
  <c r="E898" i="3" l="1"/>
  <c r="H898" i="3" s="1"/>
  <c r="K898" i="3" s="1"/>
  <c r="AE898" i="3" s="1"/>
  <c r="D898" i="3"/>
  <c r="AG898" i="3"/>
  <c r="V898" i="3" l="1"/>
  <c r="A899" i="3"/>
  <c r="B899" i="3" s="1"/>
  <c r="F898" i="3"/>
  <c r="G898" i="3"/>
  <c r="AC899" i="3" l="1"/>
  <c r="Z899" i="3"/>
  <c r="P899" i="3"/>
  <c r="Q899" i="3" s="1"/>
  <c r="R899" i="3" s="1"/>
  <c r="S899" i="3" s="1"/>
  <c r="AA899" i="3"/>
  <c r="I898" i="3"/>
  <c r="W898" i="3" s="1"/>
  <c r="J898" i="3"/>
  <c r="AD898" i="3" s="1"/>
  <c r="M898" i="3"/>
  <c r="N898" i="3" s="1"/>
  <c r="T899" i="3" l="1"/>
  <c r="L898" i="3"/>
  <c r="AH899" i="3" l="1"/>
  <c r="U898" i="3"/>
  <c r="D899" i="3" s="1"/>
  <c r="AG899" i="3"/>
  <c r="Y897" i="3"/>
  <c r="E899" i="3" l="1"/>
  <c r="H899" i="3" s="1"/>
  <c r="K899" i="3" s="1"/>
  <c r="AE899" i="3" s="1"/>
  <c r="G899" i="3"/>
  <c r="F899" i="3" l="1"/>
  <c r="V899" i="3"/>
  <c r="A900" i="3"/>
  <c r="B900" i="3" s="1"/>
  <c r="I899" i="3"/>
  <c r="J899" i="3"/>
  <c r="AD899" i="3" s="1"/>
  <c r="M899" i="3"/>
  <c r="N899" i="3" s="1"/>
  <c r="AC900" i="3" l="1"/>
  <c r="AA900" i="3"/>
  <c r="Z900" i="3"/>
  <c r="P900" i="3"/>
  <c r="Q900" i="3" s="1"/>
  <c r="R900" i="3" s="1"/>
  <c r="S900" i="3" s="1"/>
  <c r="L899" i="3"/>
  <c r="W899" i="3"/>
  <c r="T900" i="3" l="1"/>
  <c r="AG900" i="3" s="1"/>
  <c r="U899" i="3"/>
  <c r="Y898" i="3"/>
  <c r="D900" i="3" l="1"/>
  <c r="G900" i="3" s="1"/>
  <c r="E900" i="3"/>
  <c r="H900" i="3" s="1"/>
  <c r="K900" i="3" s="1"/>
  <c r="AE900" i="3" s="1"/>
  <c r="AH900" i="3"/>
  <c r="F900" i="3" l="1"/>
  <c r="V900" i="3"/>
  <c r="A901" i="3"/>
  <c r="B901" i="3" s="1"/>
  <c r="I900" i="3"/>
  <c r="J900" i="3"/>
  <c r="AD900" i="3" s="1"/>
  <c r="M900" i="3"/>
  <c r="N900" i="3" s="1"/>
  <c r="L900" i="3" l="1"/>
  <c r="AC901" i="3"/>
  <c r="Z901" i="3"/>
  <c r="P901" i="3"/>
  <c r="Q901" i="3" s="1"/>
  <c r="R901" i="3" s="1"/>
  <c r="S901" i="3" s="1"/>
  <c r="AA901" i="3"/>
  <c r="W900" i="3"/>
  <c r="T901" i="3" l="1"/>
  <c r="AH901" i="3" s="1"/>
  <c r="U900" i="3"/>
  <c r="Y899" i="3"/>
  <c r="D901" i="3" l="1"/>
  <c r="G901" i="3" s="1"/>
  <c r="AG901" i="3"/>
  <c r="E901" i="3"/>
  <c r="H901" i="3" s="1"/>
  <c r="K901" i="3" s="1"/>
  <c r="AE901" i="3" s="1"/>
  <c r="F901" i="3" l="1"/>
  <c r="V901" i="3"/>
  <c r="A902" i="3"/>
  <c r="B902" i="3" s="1"/>
  <c r="I901" i="3"/>
  <c r="J901" i="3"/>
  <c r="AD901" i="3" s="1"/>
  <c r="M901" i="3"/>
  <c r="N901" i="3" s="1"/>
  <c r="L901" i="3" l="1"/>
  <c r="AC902" i="3"/>
  <c r="P902" i="3"/>
  <c r="Q902" i="3" s="1"/>
  <c r="R902" i="3" s="1"/>
  <c r="S902" i="3" s="1"/>
  <c r="Z902" i="3"/>
  <c r="AA902" i="3"/>
  <c r="W901" i="3"/>
  <c r="T902" i="3" l="1"/>
  <c r="AG902" i="3" s="1"/>
  <c r="U901" i="3"/>
  <c r="Y900" i="3"/>
  <c r="E902" i="3" l="1"/>
  <c r="H902" i="3" s="1"/>
  <c r="K902" i="3" s="1"/>
  <c r="AE902" i="3" s="1"/>
  <c r="AH902" i="3"/>
  <c r="D902" i="3"/>
  <c r="F902" i="3" l="1"/>
  <c r="G902" i="3"/>
  <c r="V902" i="3"/>
  <c r="A903" i="3"/>
  <c r="B903" i="3" s="1"/>
  <c r="P903" i="3" l="1"/>
  <c r="Q903" i="3" s="1"/>
  <c r="R903" i="3" s="1"/>
  <c r="S903" i="3" s="1"/>
  <c r="AC903" i="3"/>
  <c r="Z903" i="3"/>
  <c r="AA903" i="3"/>
  <c r="I902" i="3"/>
  <c r="W902" i="3" s="1"/>
  <c r="J902" i="3"/>
  <c r="AD902" i="3" s="1"/>
  <c r="M902" i="3"/>
  <c r="N902" i="3" s="1"/>
  <c r="L902" i="3" l="1"/>
  <c r="T903" i="3"/>
  <c r="AH903" i="3" l="1"/>
  <c r="AG903" i="3"/>
  <c r="U902" i="3"/>
  <c r="D903" i="3" s="1"/>
  <c r="Y901" i="3"/>
  <c r="G903" i="3" l="1"/>
  <c r="E903" i="3"/>
  <c r="H903" i="3" s="1"/>
  <c r="I903" i="3" l="1"/>
  <c r="J903" i="3"/>
  <c r="AD903" i="3" s="1"/>
  <c r="M903" i="3"/>
  <c r="N903" i="3" s="1"/>
  <c r="K903" i="3"/>
  <c r="AE903" i="3" s="1"/>
  <c r="F903" i="3"/>
  <c r="V903" i="3" l="1"/>
  <c r="W903" i="3" s="1"/>
  <c r="A904" i="3"/>
  <c r="B904" i="3" s="1"/>
  <c r="L903" i="3"/>
  <c r="AC904" i="3" l="1"/>
  <c r="Z904" i="3"/>
  <c r="P904" i="3"/>
  <c r="Q904" i="3" s="1"/>
  <c r="R904" i="3" s="1"/>
  <c r="S904" i="3" s="1"/>
  <c r="AA904" i="3"/>
  <c r="U903" i="3"/>
  <c r="Y902" i="3"/>
  <c r="T904" i="3" l="1"/>
  <c r="AG904" i="3" s="1"/>
  <c r="AH904" i="3" l="1"/>
  <c r="E904" i="3"/>
  <c r="H904" i="3" s="1"/>
  <c r="K904" i="3" s="1"/>
  <c r="AE904" i="3" s="1"/>
  <c r="D904" i="3"/>
  <c r="F904" i="3" l="1"/>
  <c r="G904" i="3"/>
  <c r="I904" i="3" s="1"/>
  <c r="V904" i="3"/>
  <c r="A905" i="3"/>
  <c r="B905" i="3" s="1"/>
  <c r="M904" i="3" l="1"/>
  <c r="N904" i="3" s="1"/>
  <c r="J904" i="3"/>
  <c r="AA905" i="3"/>
  <c r="Z905" i="3"/>
  <c r="AC905" i="3"/>
  <c r="P905" i="3"/>
  <c r="Q905" i="3" s="1"/>
  <c r="R905" i="3" s="1"/>
  <c r="S905" i="3" s="1"/>
  <c r="W904" i="3"/>
  <c r="L904" i="3" l="1"/>
  <c r="U904" i="3" s="1"/>
  <c r="AD904" i="3"/>
  <c r="T905" i="3"/>
  <c r="AG905" i="3" l="1"/>
  <c r="Y903" i="3"/>
  <c r="AH905" i="3"/>
  <c r="D905" i="3"/>
  <c r="G905" i="3" s="1"/>
  <c r="E905" i="3"/>
  <c r="H905" i="3" s="1"/>
  <c r="K905" i="3" s="1"/>
  <c r="AE905" i="3" s="1"/>
  <c r="F905" i="3" l="1"/>
  <c r="V905" i="3"/>
  <c r="A906" i="3"/>
  <c r="B906" i="3" s="1"/>
  <c r="I905" i="3"/>
  <c r="J905" i="3"/>
  <c r="AD905" i="3" s="1"/>
  <c r="M905" i="3"/>
  <c r="N905" i="3" s="1"/>
  <c r="AA906" i="3" l="1"/>
  <c r="P906" i="3"/>
  <c r="Q906" i="3" s="1"/>
  <c r="R906" i="3" s="1"/>
  <c r="S906" i="3" s="1"/>
  <c r="Z906" i="3"/>
  <c r="AC906" i="3"/>
  <c r="L905" i="3"/>
  <c r="W905" i="3"/>
  <c r="T906" i="3" l="1"/>
  <c r="AG906" i="3" s="1"/>
  <c r="U905" i="3"/>
  <c r="Y904" i="3"/>
  <c r="AH906" i="3" l="1"/>
  <c r="E906" i="3"/>
  <c r="H906" i="3" s="1"/>
  <c r="K906" i="3" s="1"/>
  <c r="AE906" i="3" s="1"/>
  <c r="D906" i="3"/>
  <c r="F906" i="3" l="1"/>
  <c r="G906" i="3"/>
  <c r="I906" i="3" s="1"/>
  <c r="V906" i="3"/>
  <c r="A907" i="3"/>
  <c r="B907" i="3" s="1"/>
  <c r="M906" i="3" l="1"/>
  <c r="N906" i="3" s="1"/>
  <c r="J906" i="3"/>
  <c r="AD906" i="3" s="1"/>
  <c r="P907" i="3"/>
  <c r="Q907" i="3" s="1"/>
  <c r="R907" i="3" s="1"/>
  <c r="S907" i="3" s="1"/>
  <c r="Z907" i="3"/>
  <c r="AC907" i="3"/>
  <c r="AA907" i="3"/>
  <c r="W906" i="3"/>
  <c r="L906" i="3" l="1"/>
  <c r="U906" i="3" s="1"/>
  <c r="T907" i="3"/>
  <c r="Y905" i="3" l="1"/>
  <c r="AH907" i="3"/>
  <c r="D907" i="3"/>
  <c r="G907" i="3" s="1"/>
  <c r="AG907" i="3"/>
  <c r="E907" i="3"/>
  <c r="H907" i="3" s="1"/>
  <c r="K907" i="3" s="1"/>
  <c r="AE907" i="3" s="1"/>
  <c r="F907" i="3" l="1"/>
  <c r="V907" i="3"/>
  <c r="A908" i="3"/>
  <c r="B908" i="3" s="1"/>
  <c r="I907" i="3"/>
  <c r="J907" i="3"/>
  <c r="AD907" i="3" s="1"/>
  <c r="M907" i="3"/>
  <c r="N907" i="3" s="1"/>
  <c r="Z908" i="3" l="1"/>
  <c r="P908" i="3"/>
  <c r="Q908" i="3" s="1"/>
  <c r="R908" i="3" s="1"/>
  <c r="S908" i="3" s="1"/>
  <c r="AC908" i="3"/>
  <c r="AA908" i="3"/>
  <c r="L907" i="3"/>
  <c r="W907" i="3"/>
  <c r="T908" i="3" l="1"/>
  <c r="U907" i="3"/>
  <c r="Y906" i="3"/>
  <c r="D908" i="3" l="1"/>
  <c r="G908" i="3" s="1"/>
  <c r="E908" i="3"/>
  <c r="H908" i="3" s="1"/>
  <c r="K908" i="3" s="1"/>
  <c r="AE908" i="3" s="1"/>
  <c r="AG908" i="3"/>
  <c r="AH908" i="3"/>
  <c r="F908" i="3" l="1"/>
  <c r="V908" i="3"/>
  <c r="A909" i="3"/>
  <c r="B909" i="3" s="1"/>
  <c r="I908" i="3"/>
  <c r="J908" i="3"/>
  <c r="AD908" i="3" s="1"/>
  <c r="M908" i="3"/>
  <c r="N908" i="3" s="1"/>
  <c r="AC909" i="3" l="1"/>
  <c r="Z909" i="3"/>
  <c r="P909" i="3"/>
  <c r="Q909" i="3" s="1"/>
  <c r="R909" i="3" s="1"/>
  <c r="S909" i="3" s="1"/>
  <c r="AA909" i="3"/>
  <c r="L908" i="3"/>
  <c r="W908" i="3"/>
  <c r="T909" i="3" l="1"/>
  <c r="AH909" i="3" s="1"/>
  <c r="U908" i="3"/>
  <c r="Y907" i="3"/>
  <c r="E909" i="3" l="1"/>
  <c r="H909" i="3" s="1"/>
  <c r="K909" i="3" s="1"/>
  <c r="AE909" i="3" s="1"/>
  <c r="AG909" i="3"/>
  <c r="D909" i="3"/>
  <c r="F909" i="3" l="1"/>
  <c r="G909" i="3"/>
  <c r="I909" i="3" s="1"/>
  <c r="V909" i="3"/>
  <c r="A910" i="3"/>
  <c r="B910" i="3" s="1"/>
  <c r="J909" i="3" l="1"/>
  <c r="AD909" i="3" s="1"/>
  <c r="W909" i="3"/>
  <c r="M909" i="3"/>
  <c r="N909" i="3" s="1"/>
  <c r="Z910" i="3"/>
  <c r="AC910" i="3"/>
  <c r="P910" i="3"/>
  <c r="Q910" i="3" s="1"/>
  <c r="R910" i="3" s="1"/>
  <c r="S910" i="3" s="1"/>
  <c r="AA910" i="3"/>
  <c r="L909" i="3" l="1"/>
  <c r="U909" i="3" s="1"/>
  <c r="T910" i="3"/>
  <c r="Y908" i="3" l="1"/>
  <c r="AG910" i="3"/>
  <c r="D910" i="3"/>
  <c r="G910" i="3" s="1"/>
  <c r="E910" i="3"/>
  <c r="H910" i="3" s="1"/>
  <c r="K910" i="3" s="1"/>
  <c r="AE910" i="3" s="1"/>
  <c r="AH910" i="3"/>
  <c r="F910" i="3" l="1"/>
  <c r="V910" i="3"/>
  <c r="A911" i="3"/>
  <c r="B911" i="3" s="1"/>
  <c r="I910" i="3"/>
  <c r="J910" i="3"/>
  <c r="AD910" i="3" s="1"/>
  <c r="M910" i="3"/>
  <c r="N910" i="3" s="1"/>
  <c r="L910" i="3" l="1"/>
  <c r="P911" i="3"/>
  <c r="Q911" i="3" s="1"/>
  <c r="R911" i="3" s="1"/>
  <c r="S911" i="3" s="1"/>
  <c r="Z911" i="3"/>
  <c r="AA911" i="3"/>
  <c r="AC911" i="3"/>
  <c r="W910" i="3"/>
  <c r="T911" i="3" l="1"/>
  <c r="AG911" i="3" s="1"/>
  <c r="U910" i="3"/>
  <c r="Y909" i="3"/>
  <c r="AH911" i="3" l="1"/>
  <c r="D911" i="3"/>
  <c r="G911" i="3" s="1"/>
  <c r="E911" i="3"/>
  <c r="H911" i="3" s="1"/>
  <c r="K911" i="3" s="1"/>
  <c r="AE911" i="3" s="1"/>
  <c r="F911" i="3" l="1"/>
  <c r="V911" i="3"/>
  <c r="A912" i="3"/>
  <c r="B912" i="3" s="1"/>
  <c r="I911" i="3"/>
  <c r="J911" i="3"/>
  <c r="AD911" i="3" s="1"/>
  <c r="M911" i="3"/>
  <c r="N911" i="3" s="1"/>
  <c r="Z912" i="3" l="1"/>
  <c r="AA912" i="3"/>
  <c r="AC912" i="3"/>
  <c r="P912" i="3"/>
  <c r="Q912" i="3" s="1"/>
  <c r="R912" i="3" s="1"/>
  <c r="S912" i="3" s="1"/>
  <c r="L911" i="3"/>
  <c r="W911" i="3"/>
  <c r="T912" i="3" l="1"/>
  <c r="AH912" i="3" s="1"/>
  <c r="U911" i="3"/>
  <c r="Y910" i="3"/>
  <c r="AG912" i="3" l="1"/>
  <c r="D912" i="3"/>
  <c r="G912" i="3" s="1"/>
  <c r="E912" i="3"/>
  <c r="H912" i="3" s="1"/>
  <c r="K912" i="3" s="1"/>
  <c r="AE912" i="3" s="1"/>
  <c r="F912" i="3" l="1"/>
  <c r="V912" i="3"/>
  <c r="A913" i="3"/>
  <c r="B913" i="3" s="1"/>
  <c r="I912" i="3"/>
  <c r="J912" i="3"/>
  <c r="AD912" i="3" s="1"/>
  <c r="M912" i="3"/>
  <c r="N912" i="3" s="1"/>
  <c r="L912" i="3" l="1"/>
  <c r="P913" i="3"/>
  <c r="Q913" i="3" s="1"/>
  <c r="R913" i="3" s="1"/>
  <c r="S913" i="3" s="1"/>
  <c r="Z913" i="3"/>
  <c r="AA913" i="3"/>
  <c r="AC913" i="3"/>
  <c r="W912" i="3"/>
  <c r="T913" i="3" l="1"/>
  <c r="AG913" i="3" s="1"/>
  <c r="U912" i="3"/>
  <c r="Y911" i="3"/>
  <c r="E913" i="3" l="1"/>
  <c r="H913" i="3" s="1"/>
  <c r="K913" i="3" s="1"/>
  <c r="AE913" i="3" s="1"/>
  <c r="AH913" i="3"/>
  <c r="D913" i="3"/>
  <c r="F913" i="3" l="1"/>
  <c r="G913" i="3"/>
  <c r="I913" i="3" s="1"/>
  <c r="V913" i="3"/>
  <c r="A914" i="3"/>
  <c r="B914" i="3" s="1"/>
  <c r="M913" i="3" l="1"/>
  <c r="N913" i="3" s="1"/>
  <c r="J913" i="3"/>
  <c r="W913" i="3"/>
  <c r="AA914" i="3"/>
  <c r="Z914" i="3"/>
  <c r="P914" i="3"/>
  <c r="Q914" i="3" s="1"/>
  <c r="R914" i="3" s="1"/>
  <c r="S914" i="3" s="1"/>
  <c r="AC914" i="3"/>
  <c r="L913" i="3" l="1"/>
  <c r="U913" i="3" s="1"/>
  <c r="AD913" i="3"/>
  <c r="T914" i="3"/>
  <c r="Y912" i="3" l="1"/>
  <c r="AH914" i="3"/>
  <c r="AG914" i="3"/>
  <c r="D914" i="3"/>
  <c r="G914" i="3" s="1"/>
  <c r="E914" i="3"/>
  <c r="H914" i="3" s="1"/>
  <c r="K914" i="3" s="1"/>
  <c r="AE914" i="3" s="1"/>
  <c r="F914" i="3" l="1"/>
  <c r="V914" i="3"/>
  <c r="A915" i="3"/>
  <c r="B915" i="3" s="1"/>
  <c r="I914" i="3"/>
  <c r="J914" i="3"/>
  <c r="AD914" i="3" s="1"/>
  <c r="M914" i="3"/>
  <c r="N914" i="3" s="1"/>
  <c r="L914" i="3" l="1"/>
  <c r="AA915" i="3"/>
  <c r="AC915" i="3"/>
  <c r="P915" i="3"/>
  <c r="Q915" i="3" s="1"/>
  <c r="R915" i="3" s="1"/>
  <c r="S915" i="3" s="1"/>
  <c r="Z915" i="3"/>
  <c r="W914" i="3"/>
  <c r="T915" i="3" l="1"/>
  <c r="AG915" i="3" s="1"/>
  <c r="U914" i="3"/>
  <c r="Y913" i="3"/>
  <c r="E915" i="3" l="1"/>
  <c r="H915" i="3" s="1"/>
  <c r="K915" i="3" s="1"/>
  <c r="AE915" i="3" s="1"/>
  <c r="AH915" i="3"/>
  <c r="D915" i="3"/>
  <c r="F915" i="3" l="1"/>
  <c r="G915" i="3"/>
  <c r="I915" i="3" s="1"/>
  <c r="V915" i="3"/>
  <c r="A916" i="3"/>
  <c r="B916" i="3" s="1"/>
  <c r="M915" i="3" l="1"/>
  <c r="N915" i="3" s="1"/>
  <c r="J915" i="3"/>
  <c r="P916" i="3"/>
  <c r="Q916" i="3" s="1"/>
  <c r="R916" i="3" s="1"/>
  <c r="S916" i="3" s="1"/>
  <c r="AC916" i="3"/>
  <c r="AA916" i="3"/>
  <c r="Z916" i="3"/>
  <c r="W915" i="3"/>
  <c r="L915" i="3" l="1"/>
  <c r="U915" i="3" s="1"/>
  <c r="AD915" i="3"/>
  <c r="T916" i="3"/>
  <c r="Y914" i="3" l="1"/>
  <c r="D916" i="3"/>
  <c r="G916" i="3" s="1"/>
  <c r="E916" i="3"/>
  <c r="H916" i="3" s="1"/>
  <c r="K916" i="3" s="1"/>
  <c r="AE916" i="3" s="1"/>
  <c r="AG916" i="3"/>
  <c r="AH916" i="3"/>
  <c r="F916" i="3" l="1"/>
  <c r="I916" i="3"/>
  <c r="J916" i="3"/>
  <c r="AD916" i="3" s="1"/>
  <c r="M916" i="3"/>
  <c r="N916" i="3" s="1"/>
  <c r="V916" i="3"/>
  <c r="A917" i="3"/>
  <c r="B917" i="3" s="1"/>
  <c r="W916" i="3" l="1"/>
  <c r="AC917" i="3"/>
  <c r="AA917" i="3"/>
  <c r="Z917" i="3"/>
  <c r="P917" i="3"/>
  <c r="Q917" i="3" s="1"/>
  <c r="R917" i="3" s="1"/>
  <c r="S917" i="3" s="1"/>
  <c r="L916" i="3"/>
  <c r="T917" i="3" l="1"/>
  <c r="AH917" i="3" s="1"/>
  <c r="U916" i="3"/>
  <c r="Y915" i="3"/>
  <c r="AG917" i="3" l="1"/>
  <c r="D917" i="3"/>
  <c r="G917" i="3" s="1"/>
  <c r="E917" i="3"/>
  <c r="H917" i="3" s="1"/>
  <c r="K917" i="3" s="1"/>
  <c r="AE917" i="3" s="1"/>
  <c r="F917" i="3" l="1"/>
  <c r="I917" i="3"/>
  <c r="J917" i="3"/>
  <c r="AD917" i="3" s="1"/>
  <c r="M917" i="3"/>
  <c r="N917" i="3" s="1"/>
  <c r="V917" i="3"/>
  <c r="W917" i="3" s="1"/>
  <c r="A918" i="3"/>
  <c r="B918" i="3" s="1"/>
  <c r="AA918" i="3" l="1"/>
  <c r="AC918" i="3"/>
  <c r="P918" i="3"/>
  <c r="Q918" i="3" s="1"/>
  <c r="R918" i="3" s="1"/>
  <c r="S918" i="3" s="1"/>
  <c r="Z918" i="3"/>
  <c r="L917" i="3"/>
  <c r="T918" i="3" l="1"/>
  <c r="AG918" i="3" s="1"/>
  <c r="U917" i="3"/>
  <c r="Y916" i="3"/>
  <c r="E918" i="3" l="1"/>
  <c r="H918" i="3" s="1"/>
  <c r="K918" i="3" s="1"/>
  <c r="AE918" i="3" s="1"/>
  <c r="AH918" i="3"/>
  <c r="D918" i="3"/>
  <c r="F918" i="3" l="1"/>
  <c r="G918" i="3"/>
  <c r="I918" i="3" s="1"/>
  <c r="V918" i="3"/>
  <c r="A919" i="3"/>
  <c r="B919" i="3" s="1"/>
  <c r="M918" i="3" l="1"/>
  <c r="N918" i="3" s="1"/>
  <c r="J918" i="3"/>
  <c r="AA919" i="3"/>
  <c r="AC919" i="3"/>
  <c r="P919" i="3"/>
  <c r="Q919" i="3" s="1"/>
  <c r="R919" i="3" s="1"/>
  <c r="S919" i="3" s="1"/>
  <c r="Z919" i="3"/>
  <c r="W918" i="3"/>
  <c r="L918" i="3" l="1"/>
  <c r="U918" i="3" s="1"/>
  <c r="AD918" i="3"/>
  <c r="T919" i="3"/>
  <c r="Y917" i="3" l="1"/>
  <c r="AG919" i="3"/>
  <c r="AH919" i="3"/>
  <c r="E919" i="3"/>
  <c r="H919" i="3" s="1"/>
  <c r="K919" i="3" s="1"/>
  <c r="AE919" i="3" s="1"/>
  <c r="D919" i="3"/>
  <c r="G919" i="3" s="1"/>
  <c r="F919" i="3" l="1"/>
  <c r="I919" i="3"/>
  <c r="J919" i="3"/>
  <c r="AD919" i="3" s="1"/>
  <c r="M919" i="3"/>
  <c r="N919" i="3" s="1"/>
  <c r="V919" i="3"/>
  <c r="A920" i="3"/>
  <c r="B920" i="3" s="1"/>
  <c r="W919" i="3" l="1"/>
  <c r="AA920" i="3"/>
  <c r="P920" i="3"/>
  <c r="Q920" i="3" s="1"/>
  <c r="R920" i="3" s="1"/>
  <c r="S920" i="3" s="1"/>
  <c r="Z920" i="3"/>
  <c r="AC920" i="3"/>
  <c r="L919" i="3"/>
  <c r="T920" i="3" l="1"/>
  <c r="AH920" i="3" s="1"/>
  <c r="U919" i="3"/>
  <c r="Y918" i="3"/>
  <c r="AG920" i="3" l="1"/>
  <c r="E920" i="3"/>
  <c r="H920" i="3" s="1"/>
  <c r="K920" i="3" s="1"/>
  <c r="AE920" i="3" s="1"/>
  <c r="D920" i="3"/>
  <c r="F920" i="3" l="1"/>
  <c r="G920" i="3"/>
  <c r="V920" i="3"/>
  <c r="A921" i="3"/>
  <c r="B921" i="3" s="1"/>
  <c r="P921" i="3" l="1"/>
  <c r="Q921" i="3" s="1"/>
  <c r="R921" i="3" s="1"/>
  <c r="S921" i="3" s="1"/>
  <c r="AA921" i="3"/>
  <c r="AC921" i="3"/>
  <c r="Z921" i="3"/>
  <c r="I920" i="3"/>
  <c r="W920" i="3" s="1"/>
  <c r="J920" i="3"/>
  <c r="AD920" i="3" s="1"/>
  <c r="M920" i="3"/>
  <c r="N920" i="3" s="1"/>
  <c r="L920" i="3" l="1"/>
  <c r="T921" i="3"/>
  <c r="AH921" i="3" l="1"/>
  <c r="U920" i="3"/>
  <c r="E921" i="3" s="1"/>
  <c r="H921" i="3" s="1"/>
  <c r="AG921" i="3"/>
  <c r="Y919" i="3"/>
  <c r="D921" i="3" l="1"/>
  <c r="F921" i="3" s="1"/>
  <c r="K921" i="3"/>
  <c r="AE921" i="3" s="1"/>
  <c r="G921" i="3" l="1"/>
  <c r="I921" i="3" s="1"/>
  <c r="V921" i="3"/>
  <c r="A922" i="3"/>
  <c r="B922" i="3" s="1"/>
  <c r="M921" i="3" l="1"/>
  <c r="N921" i="3" s="1"/>
  <c r="J921" i="3"/>
  <c r="W921" i="3"/>
  <c r="P922" i="3"/>
  <c r="Q922" i="3" s="1"/>
  <c r="R922" i="3" s="1"/>
  <c r="S922" i="3" s="1"/>
  <c r="AA922" i="3"/>
  <c r="Z922" i="3"/>
  <c r="AC922" i="3"/>
  <c r="L921" i="3" l="1"/>
  <c r="U921" i="3" s="1"/>
  <c r="AD921" i="3"/>
  <c r="T922" i="3"/>
  <c r="Y920" i="3" l="1"/>
  <c r="E922" i="3"/>
  <c r="H922" i="3" s="1"/>
  <c r="K922" i="3" s="1"/>
  <c r="AE922" i="3" s="1"/>
  <c r="AG922" i="3"/>
  <c r="AH922" i="3"/>
  <c r="D922" i="3"/>
  <c r="F922" i="3" l="1"/>
  <c r="G922" i="3"/>
  <c r="V922" i="3"/>
  <c r="A923" i="3"/>
  <c r="B923" i="3" s="1"/>
  <c r="P923" i="3" l="1"/>
  <c r="Q923" i="3" s="1"/>
  <c r="R923" i="3" s="1"/>
  <c r="S923" i="3" s="1"/>
  <c r="AA923" i="3"/>
  <c r="Z923" i="3"/>
  <c r="AC923" i="3"/>
  <c r="I922" i="3"/>
  <c r="W922" i="3" s="1"/>
  <c r="J922" i="3"/>
  <c r="AD922" i="3" s="1"/>
  <c r="M922" i="3"/>
  <c r="N922" i="3" s="1"/>
  <c r="L922" i="3" l="1"/>
  <c r="T923" i="3"/>
  <c r="U922" i="3" l="1"/>
  <c r="D923" i="3" s="1"/>
  <c r="AH923" i="3"/>
  <c r="AG923" i="3"/>
  <c r="Y921" i="3"/>
  <c r="E923" i="3" l="1"/>
  <c r="H923" i="3" s="1"/>
  <c r="K923" i="3" s="1"/>
  <c r="AE923" i="3" s="1"/>
  <c r="G923" i="3"/>
  <c r="F923" i="3" l="1"/>
  <c r="V923" i="3"/>
  <c r="A924" i="3"/>
  <c r="B924" i="3" s="1"/>
  <c r="I923" i="3"/>
  <c r="J923" i="3"/>
  <c r="AD923" i="3" s="1"/>
  <c r="M923" i="3"/>
  <c r="N923" i="3" s="1"/>
  <c r="W923" i="3" l="1"/>
  <c r="L923" i="3"/>
  <c r="AC924" i="3"/>
  <c r="P924" i="3"/>
  <c r="Q924" i="3" s="1"/>
  <c r="R924" i="3" s="1"/>
  <c r="S924" i="3" s="1"/>
  <c r="AA924" i="3"/>
  <c r="Z924" i="3"/>
  <c r="T924" i="3" l="1"/>
  <c r="U923" i="3"/>
  <c r="Y922" i="3"/>
  <c r="E924" i="3" l="1"/>
  <c r="H924" i="3" s="1"/>
  <c r="K924" i="3" s="1"/>
  <c r="AE924" i="3" s="1"/>
  <c r="AG924" i="3"/>
  <c r="D924" i="3"/>
  <c r="AH924" i="3"/>
  <c r="F924" i="3" l="1"/>
  <c r="G924" i="3"/>
  <c r="J924" i="3" s="1"/>
  <c r="AD924" i="3" s="1"/>
  <c r="V924" i="3"/>
  <c r="A925" i="3"/>
  <c r="B925" i="3" s="1"/>
  <c r="M924" i="3" l="1"/>
  <c r="N924" i="3" s="1"/>
  <c r="I924" i="3"/>
  <c r="W924" i="3" s="1"/>
  <c r="Z925" i="3"/>
  <c r="AC925" i="3"/>
  <c r="P925" i="3"/>
  <c r="Q925" i="3" s="1"/>
  <c r="R925" i="3" s="1"/>
  <c r="S925" i="3" s="1"/>
  <c r="AA925" i="3"/>
  <c r="L924" i="3"/>
  <c r="T925" i="3" l="1"/>
  <c r="AG925" i="3" s="1"/>
  <c r="U924" i="3"/>
  <c r="Y923" i="3"/>
  <c r="E925" i="3" l="1"/>
  <c r="H925" i="3" s="1"/>
  <c r="K925" i="3" s="1"/>
  <c r="AE925" i="3" s="1"/>
  <c r="AH925" i="3"/>
  <c r="D925" i="3"/>
  <c r="F925" i="3" l="1"/>
  <c r="G925" i="3"/>
  <c r="I925" i="3" s="1"/>
  <c r="V925" i="3"/>
  <c r="A926" i="3"/>
  <c r="B926" i="3" s="1"/>
  <c r="W925" i="3" l="1"/>
  <c r="J925" i="3"/>
  <c r="M925" i="3"/>
  <c r="N925" i="3" s="1"/>
  <c r="P926" i="3"/>
  <c r="Q926" i="3" s="1"/>
  <c r="R926" i="3" s="1"/>
  <c r="S926" i="3" s="1"/>
  <c r="AC926" i="3"/>
  <c r="Z926" i="3"/>
  <c r="AA926" i="3"/>
  <c r="L925" i="3" l="1"/>
  <c r="U925" i="3" s="1"/>
  <c r="AD925" i="3"/>
  <c r="T926" i="3"/>
  <c r="Y924" i="3" l="1"/>
  <c r="AH926" i="3"/>
  <c r="E926" i="3"/>
  <c r="H926" i="3" s="1"/>
  <c r="K926" i="3" s="1"/>
  <c r="AE926" i="3" s="1"/>
  <c r="AG926" i="3"/>
  <c r="D926" i="3"/>
  <c r="G926" i="3" s="1"/>
  <c r="F926" i="3" l="1"/>
  <c r="I926" i="3"/>
  <c r="J926" i="3"/>
  <c r="AD926" i="3" s="1"/>
  <c r="M926" i="3"/>
  <c r="N926" i="3" s="1"/>
  <c r="V926" i="3"/>
  <c r="A927" i="3"/>
  <c r="B927" i="3" s="1"/>
  <c r="W926" i="3" l="1"/>
  <c r="AA927" i="3"/>
  <c r="AC927" i="3"/>
  <c r="Z927" i="3"/>
  <c r="P927" i="3"/>
  <c r="Q927" i="3" s="1"/>
  <c r="R927" i="3" s="1"/>
  <c r="S927" i="3" s="1"/>
  <c r="L926" i="3"/>
  <c r="T927" i="3" l="1"/>
  <c r="AG927" i="3" s="1"/>
  <c r="U926" i="3"/>
  <c r="Y925" i="3"/>
  <c r="E927" i="3" l="1"/>
  <c r="H927" i="3" s="1"/>
  <c r="K927" i="3" s="1"/>
  <c r="AE927" i="3" s="1"/>
  <c r="AH927" i="3"/>
  <c r="D927" i="3"/>
  <c r="F927" i="3" l="1"/>
  <c r="G927" i="3"/>
  <c r="J927" i="3" s="1"/>
  <c r="AD927" i="3" s="1"/>
  <c r="V927" i="3"/>
  <c r="A928" i="3"/>
  <c r="B928" i="3" s="1"/>
  <c r="M927" i="3" l="1"/>
  <c r="N927" i="3" s="1"/>
  <c r="I927" i="3"/>
  <c r="W927" i="3" s="1"/>
  <c r="L927" i="3"/>
  <c r="AC928" i="3"/>
  <c r="P928" i="3"/>
  <c r="Q928" i="3" s="1"/>
  <c r="R928" i="3" s="1"/>
  <c r="S928" i="3" s="1"/>
  <c r="AA928" i="3"/>
  <c r="Z928" i="3"/>
  <c r="T928" i="3" l="1"/>
  <c r="AH928" i="3" s="1"/>
  <c r="U927" i="3"/>
  <c r="Y926" i="3"/>
  <c r="E928" i="3" l="1"/>
  <c r="H928" i="3" s="1"/>
  <c r="K928" i="3" s="1"/>
  <c r="AE928" i="3" s="1"/>
  <c r="AG928" i="3"/>
  <c r="D928" i="3"/>
  <c r="F928" i="3" l="1"/>
  <c r="G928" i="3"/>
  <c r="J928" i="3" s="1"/>
  <c r="AD928" i="3" s="1"/>
  <c r="V928" i="3"/>
  <c r="A929" i="3"/>
  <c r="B929" i="3" s="1"/>
  <c r="M928" i="3" l="1"/>
  <c r="N928" i="3" s="1"/>
  <c r="I928" i="3"/>
  <c r="W928" i="3" s="1"/>
  <c r="AC929" i="3"/>
  <c r="Z929" i="3"/>
  <c r="P929" i="3"/>
  <c r="Q929" i="3" s="1"/>
  <c r="R929" i="3" s="1"/>
  <c r="S929" i="3" s="1"/>
  <c r="AA929" i="3"/>
  <c r="L928" i="3"/>
  <c r="T929" i="3" l="1"/>
  <c r="AH929" i="3" s="1"/>
  <c r="U928" i="3"/>
  <c r="Y927" i="3"/>
  <c r="E929" i="3" l="1"/>
  <c r="H929" i="3" s="1"/>
  <c r="K929" i="3" s="1"/>
  <c r="AE929" i="3" s="1"/>
  <c r="D929" i="3"/>
  <c r="AG929" i="3"/>
  <c r="F929" i="3" l="1"/>
  <c r="G929" i="3"/>
  <c r="I929" i="3" s="1"/>
  <c r="V929" i="3"/>
  <c r="A930" i="3"/>
  <c r="B930" i="3" s="1"/>
  <c r="M929" i="3" l="1"/>
  <c r="N929" i="3" s="1"/>
  <c r="J929" i="3"/>
  <c r="W929" i="3"/>
  <c r="AA930" i="3"/>
  <c r="P930" i="3"/>
  <c r="Q930" i="3" s="1"/>
  <c r="R930" i="3" s="1"/>
  <c r="S930" i="3" s="1"/>
  <c r="Z930" i="3"/>
  <c r="AC930" i="3"/>
  <c r="L929" i="3" l="1"/>
  <c r="U929" i="3" s="1"/>
  <c r="AD929" i="3"/>
  <c r="T930" i="3"/>
  <c r="AH930" i="3" l="1"/>
  <c r="Y928" i="3"/>
  <c r="AG930" i="3"/>
  <c r="D930" i="3"/>
  <c r="E930" i="3"/>
  <c r="H930" i="3" s="1"/>
  <c r="K930" i="3" s="1"/>
  <c r="AE930" i="3" s="1"/>
  <c r="F930" i="3" l="1"/>
  <c r="G930" i="3"/>
  <c r="M930" i="3" s="1"/>
  <c r="N930" i="3" s="1"/>
  <c r="V930" i="3"/>
  <c r="A931" i="3"/>
  <c r="B931" i="3" s="1"/>
  <c r="J930" i="3" l="1"/>
  <c r="AD930" i="3" s="1"/>
  <c r="I930" i="3"/>
  <c r="W930" i="3" s="1"/>
  <c r="AC931" i="3"/>
  <c r="AA931" i="3"/>
  <c r="Z931" i="3"/>
  <c r="P931" i="3"/>
  <c r="Q931" i="3" s="1"/>
  <c r="R931" i="3" s="1"/>
  <c r="S931" i="3" s="1"/>
  <c r="L930" i="3" l="1"/>
  <c r="U930" i="3" s="1"/>
  <c r="T931" i="3"/>
  <c r="Y929" i="3" l="1"/>
  <c r="AH931" i="3"/>
  <c r="AG931" i="3"/>
  <c r="E931" i="3"/>
  <c r="H931" i="3" s="1"/>
  <c r="K931" i="3" s="1"/>
  <c r="AE931" i="3" s="1"/>
  <c r="D931" i="3"/>
  <c r="F931" i="3" l="1"/>
  <c r="G931" i="3"/>
  <c r="I931" i="3" s="1"/>
  <c r="V931" i="3"/>
  <c r="A932" i="3"/>
  <c r="B932" i="3" s="1"/>
  <c r="M931" i="3" l="1"/>
  <c r="N931" i="3" s="1"/>
  <c r="J931" i="3"/>
  <c r="AC932" i="3"/>
  <c r="P932" i="3"/>
  <c r="Q932" i="3" s="1"/>
  <c r="R932" i="3" s="1"/>
  <c r="S932" i="3" s="1"/>
  <c r="AA932" i="3"/>
  <c r="Z932" i="3"/>
  <c r="W931" i="3"/>
  <c r="L931" i="3" l="1"/>
  <c r="U931" i="3" s="1"/>
  <c r="AD931" i="3"/>
  <c r="T932" i="3"/>
  <c r="Y930" i="3" l="1"/>
  <c r="AG932" i="3"/>
  <c r="AH932" i="3"/>
  <c r="E932" i="3"/>
  <c r="H932" i="3" s="1"/>
  <c r="K932" i="3" s="1"/>
  <c r="AE932" i="3" s="1"/>
  <c r="D932" i="3"/>
  <c r="F932" i="3" l="1"/>
  <c r="G932" i="3"/>
  <c r="I932" i="3" s="1"/>
  <c r="V932" i="3"/>
  <c r="A933" i="3"/>
  <c r="B933" i="3" s="1"/>
  <c r="M932" i="3" l="1"/>
  <c r="N932" i="3" s="1"/>
  <c r="J932" i="3"/>
  <c r="W932" i="3"/>
  <c r="P933" i="3"/>
  <c r="Q933" i="3" s="1"/>
  <c r="R933" i="3" s="1"/>
  <c r="S933" i="3" s="1"/>
  <c r="AC933" i="3"/>
  <c r="AA933" i="3"/>
  <c r="Z933" i="3"/>
  <c r="L932" i="3" l="1"/>
  <c r="U932" i="3" s="1"/>
  <c r="AD932" i="3"/>
  <c r="T933" i="3"/>
  <c r="AG933" i="3" l="1"/>
  <c r="Y931" i="3"/>
  <c r="D933" i="3"/>
  <c r="G933" i="3" s="1"/>
  <c r="AH933" i="3"/>
  <c r="E933" i="3"/>
  <c r="H933" i="3" s="1"/>
  <c r="K933" i="3" s="1"/>
  <c r="AE933" i="3" s="1"/>
  <c r="F933" i="3" l="1"/>
  <c r="I933" i="3"/>
  <c r="J933" i="3"/>
  <c r="AD933" i="3" s="1"/>
  <c r="M933" i="3"/>
  <c r="N933" i="3" s="1"/>
  <c r="V933" i="3"/>
  <c r="A934" i="3"/>
  <c r="B934" i="3" s="1"/>
  <c r="W933" i="3" l="1"/>
  <c r="Z934" i="3"/>
  <c r="AA934" i="3"/>
  <c r="P934" i="3"/>
  <c r="Q934" i="3" s="1"/>
  <c r="R934" i="3" s="1"/>
  <c r="S934" i="3" s="1"/>
  <c r="AC934" i="3"/>
  <c r="L933" i="3"/>
  <c r="T934" i="3" l="1"/>
  <c r="AH934" i="3" s="1"/>
  <c r="U933" i="3"/>
  <c r="Y932" i="3"/>
  <c r="AG934" i="3" l="1"/>
  <c r="D934" i="3"/>
  <c r="E934" i="3"/>
  <c r="H934" i="3" s="1"/>
  <c r="K934" i="3" s="1"/>
  <c r="AE934" i="3" s="1"/>
  <c r="F934" i="3" l="1"/>
  <c r="G934" i="3"/>
  <c r="I934" i="3" s="1"/>
  <c r="V934" i="3"/>
  <c r="A935" i="3"/>
  <c r="B935" i="3" s="1"/>
  <c r="M934" i="3" l="1"/>
  <c r="N934" i="3" s="1"/>
  <c r="J934" i="3"/>
  <c r="AC935" i="3"/>
  <c r="P935" i="3"/>
  <c r="Q935" i="3" s="1"/>
  <c r="R935" i="3" s="1"/>
  <c r="S935" i="3" s="1"/>
  <c r="AA935" i="3"/>
  <c r="Z935" i="3"/>
  <c r="W934" i="3"/>
  <c r="L934" i="3" l="1"/>
  <c r="U934" i="3" s="1"/>
  <c r="AD934" i="3"/>
  <c r="T935" i="3"/>
  <c r="Y933" i="3" l="1"/>
  <c r="AG935" i="3"/>
  <c r="D935" i="3"/>
  <c r="G935" i="3" s="1"/>
  <c r="AH935" i="3"/>
  <c r="E935" i="3"/>
  <c r="H935" i="3" s="1"/>
  <c r="K935" i="3" s="1"/>
  <c r="AE935" i="3" s="1"/>
  <c r="F935" i="3" l="1"/>
  <c r="I935" i="3"/>
  <c r="J935" i="3"/>
  <c r="AD935" i="3" s="1"/>
  <c r="M935" i="3"/>
  <c r="N935" i="3" s="1"/>
  <c r="V935" i="3"/>
  <c r="A936" i="3"/>
  <c r="B936" i="3" s="1"/>
  <c r="W935" i="3" l="1"/>
  <c r="AA936" i="3"/>
  <c r="AC936" i="3"/>
  <c r="Z936" i="3"/>
  <c r="P936" i="3"/>
  <c r="Q936" i="3" s="1"/>
  <c r="R936" i="3" s="1"/>
  <c r="S936" i="3" s="1"/>
  <c r="L935" i="3"/>
  <c r="T936" i="3" l="1"/>
  <c r="AH936" i="3" s="1"/>
  <c r="U935" i="3"/>
  <c r="Y934" i="3"/>
  <c r="AG936" i="3" l="1"/>
  <c r="E936" i="3"/>
  <c r="H936" i="3" s="1"/>
  <c r="K936" i="3" s="1"/>
  <c r="AE936" i="3" s="1"/>
  <c r="D936" i="3"/>
  <c r="F936" i="3" l="1"/>
  <c r="G936" i="3"/>
  <c r="I936" i="3" s="1"/>
  <c r="V936" i="3"/>
  <c r="A937" i="3"/>
  <c r="B937" i="3" s="1"/>
  <c r="J936" i="3" l="1"/>
  <c r="M936" i="3"/>
  <c r="N936" i="3" s="1"/>
  <c r="W936" i="3"/>
  <c r="AC937" i="3"/>
  <c r="P937" i="3"/>
  <c r="Q937" i="3" s="1"/>
  <c r="R937" i="3" s="1"/>
  <c r="S937" i="3" s="1"/>
  <c r="AA937" i="3"/>
  <c r="Z937" i="3"/>
  <c r="L936" i="3" l="1"/>
  <c r="U936" i="3" s="1"/>
  <c r="AD936" i="3"/>
  <c r="T937" i="3"/>
  <c r="Y935" i="3" l="1"/>
  <c r="AH937" i="3"/>
  <c r="AG937" i="3"/>
  <c r="D937" i="3"/>
  <c r="G937" i="3" s="1"/>
  <c r="E937" i="3"/>
  <c r="H937" i="3" s="1"/>
  <c r="K937" i="3" l="1"/>
  <c r="AE937" i="3" s="1"/>
  <c r="I937" i="3"/>
  <c r="J937" i="3"/>
  <c r="AD937" i="3" s="1"/>
  <c r="M937" i="3"/>
  <c r="N937" i="3" s="1"/>
  <c r="F937" i="3"/>
  <c r="L937" i="3" l="1"/>
  <c r="V937" i="3"/>
  <c r="W937" i="3" s="1"/>
  <c r="A938" i="3"/>
  <c r="B938" i="3" s="1"/>
  <c r="AA938" i="3" l="1"/>
  <c r="AC938" i="3"/>
  <c r="Z938" i="3"/>
  <c r="P938" i="3"/>
  <c r="Q938" i="3" s="1"/>
  <c r="R938" i="3" s="1"/>
  <c r="S938" i="3" s="1"/>
  <c r="U937" i="3"/>
  <c r="Y936" i="3"/>
  <c r="T938" i="3" l="1"/>
  <c r="D938" i="3" s="1"/>
  <c r="E938" i="3" l="1"/>
  <c r="H938" i="3" s="1"/>
  <c r="K938" i="3" s="1"/>
  <c r="AE938" i="3" s="1"/>
  <c r="AH938" i="3"/>
  <c r="AG938" i="3"/>
  <c r="G938" i="3"/>
  <c r="F938" i="3" l="1"/>
  <c r="V938" i="3"/>
  <c r="A939" i="3"/>
  <c r="B939" i="3" s="1"/>
  <c r="I938" i="3"/>
  <c r="J938" i="3"/>
  <c r="AD938" i="3" s="1"/>
  <c r="M938" i="3"/>
  <c r="N938" i="3" s="1"/>
  <c r="L938" i="3" l="1"/>
  <c r="P939" i="3"/>
  <c r="Q939" i="3" s="1"/>
  <c r="R939" i="3" s="1"/>
  <c r="S939" i="3" s="1"/>
  <c r="AC939" i="3"/>
  <c r="AA939" i="3"/>
  <c r="Z939" i="3"/>
  <c r="W938" i="3"/>
  <c r="T939" i="3" l="1"/>
  <c r="U938" i="3"/>
  <c r="Y937" i="3"/>
  <c r="D939" i="3" l="1"/>
  <c r="G939" i="3" s="1"/>
  <c r="AG939" i="3"/>
  <c r="AH939" i="3"/>
  <c r="E939" i="3"/>
  <c r="H939" i="3" s="1"/>
  <c r="K939" i="3" s="1"/>
  <c r="AE939" i="3" s="1"/>
  <c r="F939" i="3" l="1"/>
  <c r="V939" i="3"/>
  <c r="A940" i="3"/>
  <c r="B940" i="3" s="1"/>
  <c r="I939" i="3"/>
  <c r="J939" i="3"/>
  <c r="AD939" i="3" s="1"/>
  <c r="M939" i="3"/>
  <c r="N939" i="3" s="1"/>
  <c r="Z940" i="3" l="1"/>
  <c r="P940" i="3"/>
  <c r="Q940" i="3" s="1"/>
  <c r="R940" i="3" s="1"/>
  <c r="S940" i="3" s="1"/>
  <c r="AA940" i="3"/>
  <c r="AC940" i="3"/>
  <c r="L939" i="3"/>
  <c r="W939" i="3"/>
  <c r="T940" i="3" l="1"/>
  <c r="AH940" i="3" s="1"/>
  <c r="U939" i="3"/>
  <c r="Y938" i="3"/>
  <c r="D940" i="3" l="1"/>
  <c r="G940" i="3" s="1"/>
  <c r="E940" i="3"/>
  <c r="H940" i="3" s="1"/>
  <c r="K940" i="3" s="1"/>
  <c r="AE940" i="3" s="1"/>
  <c r="AG940" i="3"/>
  <c r="F940" i="3" l="1"/>
  <c r="V940" i="3"/>
  <c r="A941" i="3"/>
  <c r="B941" i="3" s="1"/>
  <c r="I940" i="3"/>
  <c r="J940" i="3"/>
  <c r="AD940" i="3" s="1"/>
  <c r="M940" i="3"/>
  <c r="N940" i="3" s="1"/>
  <c r="AC941" i="3" l="1"/>
  <c r="P941" i="3"/>
  <c r="Q941" i="3" s="1"/>
  <c r="R941" i="3" s="1"/>
  <c r="S941" i="3" s="1"/>
  <c r="AA941" i="3"/>
  <c r="Z941" i="3"/>
  <c r="L940" i="3"/>
  <c r="W940" i="3"/>
  <c r="T941" i="3" l="1"/>
  <c r="AH941" i="3" s="1"/>
  <c r="U940" i="3"/>
  <c r="Y939" i="3"/>
  <c r="AG941" i="3" l="1"/>
  <c r="D941" i="3"/>
  <c r="G941" i="3" s="1"/>
  <c r="E941" i="3"/>
  <c r="H941" i="3" s="1"/>
  <c r="K941" i="3" s="1"/>
  <c r="AE941" i="3" s="1"/>
  <c r="F941" i="3" l="1"/>
  <c r="V941" i="3"/>
  <c r="A942" i="3"/>
  <c r="B942" i="3" s="1"/>
  <c r="I941" i="3"/>
  <c r="J941" i="3"/>
  <c r="AD941" i="3" s="1"/>
  <c r="M941" i="3"/>
  <c r="N941" i="3" s="1"/>
  <c r="L941" i="3" l="1"/>
  <c r="AA942" i="3"/>
  <c r="Z942" i="3"/>
  <c r="AC942" i="3"/>
  <c r="P942" i="3"/>
  <c r="Q942" i="3" s="1"/>
  <c r="R942" i="3" s="1"/>
  <c r="S942" i="3" s="1"/>
  <c r="W941" i="3"/>
  <c r="T942" i="3" l="1"/>
  <c r="AG942" i="3" s="1"/>
  <c r="U941" i="3"/>
  <c r="Y940" i="3"/>
  <c r="AH942" i="3" l="1"/>
  <c r="E942" i="3"/>
  <c r="H942" i="3" s="1"/>
  <c r="K942" i="3" s="1"/>
  <c r="AE942" i="3" s="1"/>
  <c r="D942" i="3"/>
  <c r="F942" i="3" l="1"/>
  <c r="G942" i="3"/>
  <c r="I942" i="3" s="1"/>
  <c r="V942" i="3"/>
  <c r="A943" i="3"/>
  <c r="B943" i="3" s="1"/>
  <c r="J942" i="3" l="1"/>
  <c r="M942" i="3"/>
  <c r="N942" i="3" s="1"/>
  <c r="AC943" i="3"/>
  <c r="P943" i="3"/>
  <c r="Q943" i="3" s="1"/>
  <c r="R943" i="3" s="1"/>
  <c r="S943" i="3" s="1"/>
  <c r="Z943" i="3"/>
  <c r="AA943" i="3"/>
  <c r="W942" i="3"/>
  <c r="L942" i="3" l="1"/>
  <c r="U942" i="3" s="1"/>
  <c r="AD942" i="3"/>
  <c r="T943" i="3"/>
  <c r="Y941" i="3" l="1"/>
  <c r="E943" i="3"/>
  <c r="H943" i="3" s="1"/>
  <c r="K943" i="3" s="1"/>
  <c r="AE943" i="3" s="1"/>
  <c r="AG943" i="3"/>
  <c r="D943" i="3"/>
  <c r="AH943" i="3"/>
  <c r="F943" i="3" l="1"/>
  <c r="G943" i="3"/>
  <c r="I943" i="3" s="1"/>
  <c r="V943" i="3"/>
  <c r="A944" i="3"/>
  <c r="B944" i="3" s="1"/>
  <c r="M943" i="3" l="1"/>
  <c r="N943" i="3" s="1"/>
  <c r="J943" i="3"/>
  <c r="Z944" i="3"/>
  <c r="P944" i="3"/>
  <c r="Q944" i="3" s="1"/>
  <c r="R944" i="3" s="1"/>
  <c r="S944" i="3" s="1"/>
  <c r="AC944" i="3"/>
  <c r="AA944" i="3"/>
  <c r="W943" i="3"/>
  <c r="L943" i="3" l="1"/>
  <c r="U943" i="3" s="1"/>
  <c r="AD943" i="3"/>
  <c r="T944" i="3"/>
  <c r="Y942" i="3" l="1"/>
  <c r="AH944" i="3"/>
  <c r="AG944" i="3"/>
  <c r="D944" i="3"/>
  <c r="G944" i="3" s="1"/>
  <c r="E944" i="3"/>
  <c r="H944" i="3" s="1"/>
  <c r="K944" i="3" s="1"/>
  <c r="AE944" i="3" s="1"/>
  <c r="F944" i="3" l="1"/>
  <c r="V944" i="3"/>
  <c r="A945" i="3"/>
  <c r="B945" i="3" s="1"/>
  <c r="I944" i="3"/>
  <c r="J944" i="3"/>
  <c r="AD944" i="3" s="1"/>
  <c r="M944" i="3"/>
  <c r="N944" i="3" s="1"/>
  <c r="Z945" i="3" l="1"/>
  <c r="AC945" i="3"/>
  <c r="P945" i="3"/>
  <c r="Q945" i="3" s="1"/>
  <c r="R945" i="3" s="1"/>
  <c r="S945" i="3" s="1"/>
  <c r="AA945" i="3"/>
  <c r="L944" i="3"/>
  <c r="W944" i="3"/>
  <c r="T945" i="3" l="1"/>
  <c r="U944" i="3"/>
  <c r="Y943" i="3"/>
  <c r="D945" i="3" l="1"/>
  <c r="G945" i="3" s="1"/>
  <c r="E945" i="3"/>
  <c r="H945" i="3" s="1"/>
  <c r="K945" i="3" s="1"/>
  <c r="AE945" i="3" s="1"/>
  <c r="AH945" i="3"/>
  <c r="AG945" i="3"/>
  <c r="F945" i="3" l="1"/>
  <c r="I945" i="3"/>
  <c r="J945" i="3"/>
  <c r="AD945" i="3" s="1"/>
  <c r="M945" i="3"/>
  <c r="N945" i="3" s="1"/>
  <c r="V945" i="3"/>
  <c r="A946" i="3"/>
  <c r="B946" i="3" s="1"/>
  <c r="W945" i="3" l="1"/>
  <c r="Z946" i="3"/>
  <c r="AC946" i="3"/>
  <c r="AA946" i="3"/>
  <c r="P946" i="3"/>
  <c r="Q946" i="3" s="1"/>
  <c r="R946" i="3" s="1"/>
  <c r="S946" i="3" s="1"/>
  <c r="L945" i="3"/>
  <c r="T946" i="3" l="1"/>
  <c r="AH946" i="3" s="1"/>
  <c r="U945" i="3"/>
  <c r="Y944" i="3"/>
  <c r="D946" i="3" l="1"/>
  <c r="G946" i="3" s="1"/>
  <c r="AG946" i="3"/>
  <c r="E946" i="3"/>
  <c r="H946" i="3" s="1"/>
  <c r="K946" i="3" s="1"/>
  <c r="AE946" i="3" s="1"/>
  <c r="F946" i="3" l="1"/>
  <c r="I946" i="3"/>
  <c r="J946" i="3"/>
  <c r="AD946" i="3" s="1"/>
  <c r="M946" i="3"/>
  <c r="N946" i="3" s="1"/>
  <c r="V946" i="3"/>
  <c r="A947" i="3"/>
  <c r="B947" i="3" s="1"/>
  <c r="W946" i="3" l="1"/>
  <c r="Z947" i="3"/>
  <c r="P947" i="3"/>
  <c r="Q947" i="3" s="1"/>
  <c r="R947" i="3" s="1"/>
  <c r="S947" i="3" s="1"/>
  <c r="AC947" i="3"/>
  <c r="AA947" i="3"/>
  <c r="L946" i="3"/>
  <c r="T947" i="3" l="1"/>
  <c r="AG947" i="3" s="1"/>
  <c r="U946" i="3"/>
  <c r="Y945" i="3"/>
  <c r="AH947" i="3" l="1"/>
  <c r="E947" i="3"/>
  <c r="H947" i="3" s="1"/>
  <c r="K947" i="3" s="1"/>
  <c r="AE947" i="3" s="1"/>
  <c r="D947" i="3"/>
  <c r="F947" i="3" l="1"/>
  <c r="G947" i="3"/>
  <c r="I947" i="3" s="1"/>
  <c r="V947" i="3"/>
  <c r="A948" i="3"/>
  <c r="B948" i="3" s="1"/>
  <c r="M947" i="3" l="1"/>
  <c r="N947" i="3" s="1"/>
  <c r="J947" i="3"/>
  <c r="AA948" i="3"/>
  <c r="Z948" i="3"/>
  <c r="AC948" i="3"/>
  <c r="P948" i="3"/>
  <c r="Q948" i="3" s="1"/>
  <c r="R948" i="3" s="1"/>
  <c r="S948" i="3" s="1"/>
  <c r="W947" i="3"/>
  <c r="L947" i="3" l="1"/>
  <c r="U947" i="3" s="1"/>
  <c r="AD947" i="3"/>
  <c r="T948" i="3"/>
  <c r="Y946" i="3" l="1"/>
  <c r="AH948" i="3"/>
  <c r="AG948" i="3"/>
  <c r="D948" i="3"/>
  <c r="G948" i="3" s="1"/>
  <c r="E948" i="3"/>
  <c r="H948" i="3" s="1"/>
  <c r="K948" i="3" s="1"/>
  <c r="AE948" i="3" s="1"/>
  <c r="F948" i="3" l="1"/>
  <c r="V948" i="3"/>
  <c r="A949" i="3"/>
  <c r="B949" i="3" s="1"/>
  <c r="I948" i="3"/>
  <c r="J948" i="3"/>
  <c r="AD948" i="3" s="1"/>
  <c r="M948" i="3"/>
  <c r="N948" i="3" s="1"/>
  <c r="W948" i="3" l="1"/>
  <c r="L948" i="3"/>
  <c r="AA949" i="3"/>
  <c r="Z949" i="3"/>
  <c r="P949" i="3"/>
  <c r="Q949" i="3" s="1"/>
  <c r="R949" i="3" s="1"/>
  <c r="S949" i="3" s="1"/>
  <c r="AC949" i="3"/>
  <c r="U948" i="3" l="1"/>
  <c r="Y947" i="3"/>
  <c r="T949" i="3"/>
  <c r="E949" i="3" l="1"/>
  <c r="H949" i="3" s="1"/>
  <c r="K949" i="3" s="1"/>
  <c r="AE949" i="3" s="1"/>
  <c r="AH949" i="3"/>
  <c r="D949" i="3"/>
  <c r="AG949" i="3"/>
  <c r="F949" i="3" l="1"/>
  <c r="G949" i="3"/>
  <c r="I949" i="3" s="1"/>
  <c r="V949" i="3"/>
  <c r="A950" i="3"/>
  <c r="B950" i="3" s="1"/>
  <c r="M949" i="3" l="1"/>
  <c r="N949" i="3" s="1"/>
  <c r="J949" i="3"/>
  <c r="W949" i="3"/>
  <c r="AC950" i="3"/>
  <c r="Z950" i="3"/>
  <c r="AA950" i="3"/>
  <c r="P950" i="3"/>
  <c r="Q950" i="3" s="1"/>
  <c r="R950" i="3" s="1"/>
  <c r="S950" i="3" s="1"/>
  <c r="L949" i="3" l="1"/>
  <c r="U949" i="3" s="1"/>
  <c r="AD949" i="3"/>
  <c r="T950" i="3"/>
  <c r="Y948" i="3" l="1"/>
  <c r="AH950" i="3"/>
  <c r="E950" i="3"/>
  <c r="H950" i="3" s="1"/>
  <c r="K950" i="3" s="1"/>
  <c r="AE950" i="3" s="1"/>
  <c r="AG950" i="3"/>
  <c r="D950" i="3"/>
  <c r="F950" i="3" l="1"/>
  <c r="G950" i="3"/>
  <c r="V950" i="3"/>
  <c r="A951" i="3"/>
  <c r="B951" i="3" s="1"/>
  <c r="AC951" i="3" l="1"/>
  <c r="AA951" i="3"/>
  <c r="Z951" i="3"/>
  <c r="P951" i="3"/>
  <c r="Q951" i="3" s="1"/>
  <c r="R951" i="3" s="1"/>
  <c r="S951" i="3" s="1"/>
  <c r="I950" i="3"/>
  <c r="W950" i="3" s="1"/>
  <c r="J950" i="3"/>
  <c r="AD950" i="3" s="1"/>
  <c r="M950" i="3"/>
  <c r="N950" i="3" s="1"/>
  <c r="T951" i="3" l="1"/>
  <c r="L950" i="3"/>
  <c r="AH951" i="3" l="1"/>
  <c r="U950" i="3"/>
  <c r="E951" i="3" s="1"/>
  <c r="H951" i="3" s="1"/>
  <c r="AG951" i="3"/>
  <c r="Y949" i="3"/>
  <c r="D951" i="3" l="1"/>
  <c r="F951" i="3" s="1"/>
  <c r="K951" i="3"/>
  <c r="AE951" i="3" s="1"/>
  <c r="G951" i="3" l="1"/>
  <c r="I951" i="3" s="1"/>
  <c r="V951" i="3"/>
  <c r="A952" i="3"/>
  <c r="B952" i="3" s="1"/>
  <c r="M951" i="3" l="1"/>
  <c r="N951" i="3" s="1"/>
  <c r="J951" i="3"/>
  <c r="AC952" i="3"/>
  <c r="Z952" i="3"/>
  <c r="AA952" i="3"/>
  <c r="P952" i="3"/>
  <c r="Q952" i="3" s="1"/>
  <c r="R952" i="3" s="1"/>
  <c r="S952" i="3" s="1"/>
  <c r="W951" i="3"/>
  <c r="L951" i="3" l="1"/>
  <c r="U951" i="3" s="1"/>
  <c r="AD951" i="3"/>
  <c r="T952" i="3"/>
  <c r="Y950" i="3" l="1"/>
  <c r="AH952" i="3"/>
  <c r="E952" i="3"/>
  <c r="H952" i="3" s="1"/>
  <c r="K952" i="3" s="1"/>
  <c r="AE952" i="3" s="1"/>
  <c r="D952" i="3"/>
  <c r="AG952" i="3"/>
  <c r="F952" i="3" l="1"/>
  <c r="G952" i="3"/>
  <c r="I952" i="3" s="1"/>
  <c r="V952" i="3"/>
  <c r="A953" i="3"/>
  <c r="B953" i="3" s="1"/>
  <c r="M952" i="3" l="1"/>
  <c r="N952" i="3" s="1"/>
  <c r="J952" i="3"/>
  <c r="W952" i="3"/>
  <c r="AC953" i="3"/>
  <c r="AA953" i="3"/>
  <c r="Z953" i="3"/>
  <c r="P953" i="3"/>
  <c r="Q953" i="3" s="1"/>
  <c r="R953" i="3" s="1"/>
  <c r="S953" i="3" s="1"/>
  <c r="L952" i="3" l="1"/>
  <c r="U952" i="3" s="1"/>
  <c r="AD952" i="3"/>
  <c r="T953" i="3"/>
  <c r="Y951" i="3" l="1"/>
  <c r="AH953" i="3"/>
  <c r="D953" i="3"/>
  <c r="G953" i="3" s="1"/>
  <c r="AG953" i="3"/>
  <c r="E953" i="3"/>
  <c r="H953" i="3" s="1"/>
  <c r="K953" i="3" s="1"/>
  <c r="AE953" i="3" s="1"/>
  <c r="F953" i="3" l="1"/>
  <c r="I953" i="3"/>
  <c r="J953" i="3"/>
  <c r="AD953" i="3" s="1"/>
  <c r="M953" i="3"/>
  <c r="N953" i="3" s="1"/>
  <c r="V953" i="3"/>
  <c r="A954" i="3"/>
  <c r="B954" i="3" s="1"/>
  <c r="W953" i="3" l="1"/>
  <c r="AC954" i="3"/>
  <c r="Z954" i="3"/>
  <c r="AA954" i="3"/>
  <c r="P954" i="3"/>
  <c r="Q954" i="3" s="1"/>
  <c r="R954" i="3" s="1"/>
  <c r="S954" i="3" s="1"/>
  <c r="L953" i="3"/>
  <c r="T954" i="3" l="1"/>
  <c r="AH954" i="3" s="1"/>
  <c r="U953" i="3"/>
  <c r="Y952" i="3"/>
  <c r="D954" i="3" l="1"/>
  <c r="G954" i="3" s="1"/>
  <c r="AG954" i="3"/>
  <c r="E954" i="3"/>
  <c r="H954" i="3" s="1"/>
  <c r="K954" i="3" l="1"/>
  <c r="AE954" i="3" s="1"/>
  <c r="I954" i="3"/>
  <c r="J954" i="3"/>
  <c r="AD954" i="3" s="1"/>
  <c r="M954" i="3"/>
  <c r="N954" i="3" s="1"/>
  <c r="F954" i="3"/>
  <c r="L954" i="3" l="1"/>
  <c r="V954" i="3"/>
  <c r="W954" i="3" s="1"/>
  <c r="A955" i="3"/>
  <c r="B955" i="3" s="1"/>
  <c r="Z955" i="3" l="1"/>
  <c r="AA955" i="3"/>
  <c r="P955" i="3"/>
  <c r="Q955" i="3" s="1"/>
  <c r="R955" i="3" s="1"/>
  <c r="S955" i="3" s="1"/>
  <c r="AC955" i="3"/>
  <c r="U954" i="3"/>
  <c r="Y953" i="3"/>
  <c r="T955" i="3" l="1"/>
  <c r="AG955" i="3" s="1"/>
  <c r="E955" i="3" l="1"/>
  <c r="H955" i="3" s="1"/>
  <c r="K955" i="3" s="1"/>
  <c r="AE955" i="3" s="1"/>
  <c r="D955" i="3"/>
  <c r="AH955" i="3"/>
  <c r="F955" i="3" l="1"/>
  <c r="G955" i="3"/>
  <c r="I955" i="3" s="1"/>
  <c r="V955" i="3"/>
  <c r="A956" i="3"/>
  <c r="B956" i="3" s="1"/>
  <c r="M955" i="3" l="1"/>
  <c r="N955" i="3" s="1"/>
  <c r="J955" i="3"/>
  <c r="AA956" i="3"/>
  <c r="Z956" i="3"/>
  <c r="P956" i="3"/>
  <c r="Q956" i="3" s="1"/>
  <c r="R956" i="3" s="1"/>
  <c r="S956" i="3" s="1"/>
  <c r="AC956" i="3"/>
  <c r="W955" i="3"/>
  <c r="L955" i="3" l="1"/>
  <c r="U955" i="3" s="1"/>
  <c r="AD955" i="3"/>
  <c r="T956" i="3"/>
  <c r="Y954" i="3" l="1"/>
  <c r="AH956" i="3"/>
  <c r="D956" i="3"/>
  <c r="G956" i="3" s="1"/>
  <c r="AG956" i="3"/>
  <c r="E956" i="3"/>
  <c r="H956" i="3" s="1"/>
  <c r="K956" i="3" s="1"/>
  <c r="AE956" i="3" s="1"/>
  <c r="F956" i="3" l="1"/>
  <c r="V956" i="3"/>
  <c r="A957" i="3"/>
  <c r="B957" i="3" s="1"/>
  <c r="I956" i="3"/>
  <c r="J956" i="3"/>
  <c r="AD956" i="3" s="1"/>
  <c r="M956" i="3"/>
  <c r="N956" i="3" s="1"/>
  <c r="L956" i="3" l="1"/>
  <c r="Z957" i="3"/>
  <c r="AA957" i="3"/>
  <c r="P957" i="3"/>
  <c r="Q957" i="3" s="1"/>
  <c r="R957" i="3" s="1"/>
  <c r="S957" i="3" s="1"/>
  <c r="AC957" i="3"/>
  <c r="W956" i="3"/>
  <c r="T957" i="3" l="1"/>
  <c r="AG957" i="3" s="1"/>
  <c r="U956" i="3"/>
  <c r="Y955" i="3"/>
  <c r="AH957" i="3" l="1"/>
  <c r="E957" i="3"/>
  <c r="H957" i="3" s="1"/>
  <c r="K957" i="3" s="1"/>
  <c r="AE957" i="3" s="1"/>
  <c r="D957" i="3"/>
  <c r="F957" i="3" l="1"/>
  <c r="G957" i="3"/>
  <c r="V957" i="3"/>
  <c r="A958" i="3"/>
  <c r="B958" i="3" s="1"/>
  <c r="P958" i="3" l="1"/>
  <c r="Q958" i="3" s="1"/>
  <c r="R958" i="3" s="1"/>
  <c r="S958" i="3" s="1"/>
  <c r="AA958" i="3"/>
  <c r="Z958" i="3"/>
  <c r="AC958" i="3"/>
  <c r="I957" i="3"/>
  <c r="W957" i="3" s="1"/>
  <c r="J957" i="3"/>
  <c r="AD957" i="3" s="1"/>
  <c r="M957" i="3"/>
  <c r="N957" i="3" s="1"/>
  <c r="L957" i="3" l="1"/>
  <c r="T958" i="3"/>
  <c r="U957" i="3" l="1"/>
  <c r="E958" i="3" s="1"/>
  <c r="H958" i="3" s="1"/>
  <c r="AG958" i="3"/>
  <c r="AH958" i="3"/>
  <c r="Y956" i="3"/>
  <c r="D958" i="3" l="1"/>
  <c r="F958" i="3" s="1"/>
  <c r="K958" i="3"/>
  <c r="AE958" i="3" s="1"/>
  <c r="G958" i="3" l="1"/>
  <c r="I958" i="3" s="1"/>
  <c r="V958" i="3"/>
  <c r="A959" i="3"/>
  <c r="B959" i="3" s="1"/>
  <c r="M958" i="3" l="1"/>
  <c r="N958" i="3" s="1"/>
  <c r="J958" i="3"/>
  <c r="AD958" i="3" s="1"/>
  <c r="P959" i="3"/>
  <c r="Q959" i="3" s="1"/>
  <c r="R959" i="3" s="1"/>
  <c r="S959" i="3" s="1"/>
  <c r="Z959" i="3"/>
  <c r="AA959" i="3"/>
  <c r="AC959" i="3"/>
  <c r="W958" i="3"/>
  <c r="L958" i="3" l="1"/>
  <c r="U958" i="3" s="1"/>
  <c r="T959" i="3"/>
  <c r="AH959" i="3" l="1"/>
  <c r="Y957" i="3"/>
  <c r="D959" i="3"/>
  <c r="E959" i="3"/>
  <c r="H959" i="3" s="1"/>
  <c r="AG959" i="3"/>
  <c r="K959" i="3" l="1"/>
  <c r="AE959" i="3" s="1"/>
  <c r="F959" i="3"/>
  <c r="G959" i="3"/>
  <c r="I959" i="3" l="1"/>
  <c r="J959" i="3"/>
  <c r="AD959" i="3" s="1"/>
  <c r="M959" i="3"/>
  <c r="N959" i="3" s="1"/>
  <c r="V959" i="3"/>
  <c r="A960" i="3"/>
  <c r="B960" i="3" s="1"/>
  <c r="W959" i="3" l="1"/>
  <c r="AC960" i="3"/>
  <c r="Z960" i="3"/>
  <c r="AA960" i="3"/>
  <c r="P960" i="3"/>
  <c r="Q960" i="3" s="1"/>
  <c r="R960" i="3" s="1"/>
  <c r="S960" i="3" s="1"/>
  <c r="L959" i="3"/>
  <c r="T960" i="3" l="1"/>
  <c r="AH960" i="3" s="1"/>
  <c r="U959" i="3"/>
  <c r="Y958" i="3"/>
  <c r="D960" i="3" l="1"/>
  <c r="G960" i="3" s="1"/>
  <c r="E960" i="3"/>
  <c r="H960" i="3" s="1"/>
  <c r="K960" i="3" s="1"/>
  <c r="AE960" i="3" s="1"/>
  <c r="AG960" i="3"/>
  <c r="F960" i="3" l="1"/>
  <c r="I960" i="3"/>
  <c r="J960" i="3"/>
  <c r="AD960" i="3" s="1"/>
  <c r="M960" i="3"/>
  <c r="N960" i="3" s="1"/>
  <c r="V960" i="3"/>
  <c r="A961" i="3"/>
  <c r="B961" i="3" s="1"/>
  <c r="W960" i="3" l="1"/>
  <c r="AC961" i="3"/>
  <c r="AA961" i="3"/>
  <c r="Z961" i="3"/>
  <c r="P961" i="3"/>
  <c r="Q961" i="3" s="1"/>
  <c r="R961" i="3" s="1"/>
  <c r="S961" i="3" s="1"/>
  <c r="L960" i="3"/>
  <c r="T961" i="3" l="1"/>
  <c r="AG961" i="3" s="1"/>
  <c r="U960" i="3"/>
  <c r="Y959" i="3"/>
  <c r="D961" i="3" l="1"/>
  <c r="G961" i="3" s="1"/>
  <c r="AH961" i="3"/>
  <c r="E961" i="3"/>
  <c r="H961" i="3" s="1"/>
  <c r="K961" i="3" s="1"/>
  <c r="AE961" i="3" s="1"/>
  <c r="F961" i="3" l="1"/>
  <c r="I961" i="3"/>
  <c r="J961" i="3"/>
  <c r="AD961" i="3" s="1"/>
  <c r="M961" i="3"/>
  <c r="N961" i="3" s="1"/>
  <c r="V961" i="3"/>
  <c r="A962" i="3"/>
  <c r="B962" i="3" s="1"/>
  <c r="W961" i="3" l="1"/>
  <c r="P962" i="3"/>
  <c r="Q962" i="3" s="1"/>
  <c r="R962" i="3" s="1"/>
  <c r="S962" i="3" s="1"/>
  <c r="AC962" i="3"/>
  <c r="AA962" i="3"/>
  <c r="Z962" i="3"/>
  <c r="L961" i="3"/>
  <c r="T962" i="3" l="1"/>
  <c r="AH962" i="3" s="1"/>
  <c r="U961" i="3"/>
  <c r="Y960" i="3"/>
  <c r="AG962" i="3" l="1"/>
  <c r="D962" i="3"/>
  <c r="G962" i="3" s="1"/>
  <c r="E962" i="3"/>
  <c r="H962" i="3" s="1"/>
  <c r="K962" i="3" s="1"/>
  <c r="AE962" i="3" s="1"/>
  <c r="F962" i="3" l="1"/>
  <c r="V962" i="3"/>
  <c r="A963" i="3"/>
  <c r="B963" i="3" s="1"/>
  <c r="I962" i="3"/>
  <c r="J962" i="3"/>
  <c r="AD962" i="3" s="1"/>
  <c r="M962" i="3"/>
  <c r="N962" i="3" s="1"/>
  <c r="L962" i="3" l="1"/>
  <c r="P963" i="3"/>
  <c r="Q963" i="3" s="1"/>
  <c r="R963" i="3" s="1"/>
  <c r="S963" i="3" s="1"/>
  <c r="AC963" i="3"/>
  <c r="AA963" i="3"/>
  <c r="Z963" i="3"/>
  <c r="W962" i="3"/>
  <c r="T963" i="3" l="1"/>
  <c r="AH963" i="3" s="1"/>
  <c r="U962" i="3"/>
  <c r="Y961" i="3"/>
  <c r="D963" i="3" l="1"/>
  <c r="G963" i="3" s="1"/>
  <c r="AG963" i="3"/>
  <c r="E963" i="3"/>
  <c r="H963" i="3" s="1"/>
  <c r="K963" i="3" s="1"/>
  <c r="AE963" i="3" s="1"/>
  <c r="F963" i="3" l="1"/>
  <c r="V963" i="3"/>
  <c r="A964" i="3"/>
  <c r="B964" i="3" s="1"/>
  <c r="I963" i="3"/>
  <c r="J963" i="3"/>
  <c r="AD963" i="3" s="1"/>
  <c r="M963" i="3"/>
  <c r="N963" i="3" s="1"/>
  <c r="L963" i="3" l="1"/>
  <c r="P964" i="3"/>
  <c r="Q964" i="3" s="1"/>
  <c r="R964" i="3" s="1"/>
  <c r="S964" i="3" s="1"/>
  <c r="AA964" i="3"/>
  <c r="Z964" i="3"/>
  <c r="AC964" i="3"/>
  <c r="W963" i="3"/>
  <c r="T964" i="3" l="1"/>
  <c r="AG964" i="3" s="1"/>
  <c r="U963" i="3"/>
  <c r="Y962" i="3"/>
  <c r="AH964" i="3" l="1"/>
  <c r="E964" i="3"/>
  <c r="H964" i="3" s="1"/>
  <c r="K964" i="3" s="1"/>
  <c r="AE964" i="3" s="1"/>
  <c r="D964" i="3"/>
  <c r="F964" i="3" l="1"/>
  <c r="G964" i="3"/>
  <c r="I964" i="3" s="1"/>
  <c r="V964" i="3"/>
  <c r="A965" i="3"/>
  <c r="B965" i="3" s="1"/>
  <c r="M964" i="3" l="1"/>
  <c r="N964" i="3" s="1"/>
  <c r="J964" i="3"/>
  <c r="Z965" i="3"/>
  <c r="AC965" i="3"/>
  <c r="P965" i="3"/>
  <c r="Q965" i="3" s="1"/>
  <c r="R965" i="3" s="1"/>
  <c r="S965" i="3" s="1"/>
  <c r="AA965" i="3"/>
  <c r="W964" i="3"/>
  <c r="L964" i="3" l="1"/>
  <c r="U964" i="3" s="1"/>
  <c r="AD964" i="3"/>
  <c r="T965" i="3"/>
  <c r="Y963" i="3" l="1"/>
  <c r="AH965" i="3"/>
  <c r="E965" i="3"/>
  <c r="H965" i="3" s="1"/>
  <c r="K965" i="3" s="1"/>
  <c r="AE965" i="3" s="1"/>
  <c r="AG965" i="3"/>
  <c r="D965" i="3"/>
  <c r="F965" i="3" l="1"/>
  <c r="G965" i="3"/>
  <c r="I965" i="3" s="1"/>
  <c r="V965" i="3"/>
  <c r="A966" i="3"/>
  <c r="B966" i="3" s="1"/>
  <c r="M965" i="3" l="1"/>
  <c r="N965" i="3" s="1"/>
  <c r="J965" i="3"/>
  <c r="W965" i="3"/>
  <c r="Z966" i="3"/>
  <c r="AC966" i="3"/>
  <c r="P966" i="3"/>
  <c r="Q966" i="3" s="1"/>
  <c r="R966" i="3" s="1"/>
  <c r="S966" i="3" s="1"/>
  <c r="AA966" i="3"/>
  <c r="L965" i="3" l="1"/>
  <c r="U965" i="3" s="1"/>
  <c r="AD965" i="3"/>
  <c r="T966" i="3"/>
  <c r="AH966" i="3" l="1"/>
  <c r="Y964" i="3"/>
  <c r="AG966" i="3"/>
  <c r="D966" i="3"/>
  <c r="G966" i="3" s="1"/>
  <c r="E966" i="3"/>
  <c r="H966" i="3" s="1"/>
  <c r="K966" i="3" s="1"/>
  <c r="AE966" i="3" s="1"/>
  <c r="F966" i="3" l="1"/>
  <c r="V966" i="3"/>
  <c r="A967" i="3"/>
  <c r="B967" i="3" s="1"/>
  <c r="I966" i="3"/>
  <c r="J966" i="3"/>
  <c r="AD966" i="3" s="1"/>
  <c r="M966" i="3"/>
  <c r="N966" i="3" s="1"/>
  <c r="L966" i="3" l="1"/>
  <c r="W966" i="3"/>
  <c r="P967" i="3"/>
  <c r="Q967" i="3" s="1"/>
  <c r="R967" i="3" s="1"/>
  <c r="S967" i="3" s="1"/>
  <c r="AA967" i="3"/>
  <c r="Z967" i="3"/>
  <c r="AC967" i="3"/>
  <c r="T967" i="3" l="1"/>
  <c r="AH967" i="3" s="1"/>
  <c r="U966" i="3"/>
  <c r="Y965" i="3"/>
  <c r="AG967" i="3" l="1"/>
  <c r="D967" i="3"/>
  <c r="G967" i="3" s="1"/>
  <c r="E967" i="3"/>
  <c r="H967" i="3" s="1"/>
  <c r="K967" i="3" s="1"/>
  <c r="AE967" i="3" s="1"/>
  <c r="F967" i="3" l="1"/>
  <c r="I967" i="3"/>
  <c r="J967" i="3"/>
  <c r="AD967" i="3" s="1"/>
  <c r="M967" i="3"/>
  <c r="N967" i="3" s="1"/>
  <c r="V967" i="3"/>
  <c r="A968" i="3"/>
  <c r="B968" i="3" s="1"/>
  <c r="W967" i="3" l="1"/>
  <c r="P968" i="3"/>
  <c r="Q968" i="3" s="1"/>
  <c r="R968" i="3" s="1"/>
  <c r="S968" i="3" s="1"/>
  <c r="Z968" i="3"/>
  <c r="AA968" i="3"/>
  <c r="AC968" i="3"/>
  <c r="L967" i="3"/>
  <c r="T968" i="3" l="1"/>
  <c r="AG968" i="3" s="1"/>
  <c r="U967" i="3"/>
  <c r="Y966" i="3"/>
  <c r="E968" i="3" l="1"/>
  <c r="H968" i="3" s="1"/>
  <c r="K968" i="3" s="1"/>
  <c r="AE968" i="3" s="1"/>
  <c r="AH968" i="3"/>
  <c r="D968" i="3"/>
  <c r="F968" i="3" l="1"/>
  <c r="G968" i="3"/>
  <c r="I968" i="3" s="1"/>
  <c r="V968" i="3"/>
  <c r="A969" i="3"/>
  <c r="B969" i="3" s="1"/>
  <c r="M968" i="3" l="1"/>
  <c r="N968" i="3" s="1"/>
  <c r="J968" i="3"/>
  <c r="AA969" i="3"/>
  <c r="P969" i="3"/>
  <c r="Q969" i="3" s="1"/>
  <c r="R969" i="3" s="1"/>
  <c r="S969" i="3" s="1"/>
  <c r="Z969" i="3"/>
  <c r="AC969" i="3"/>
  <c r="W968" i="3"/>
  <c r="L968" i="3" l="1"/>
  <c r="U968" i="3" s="1"/>
  <c r="AD968" i="3"/>
  <c r="T969" i="3"/>
  <c r="Y967" i="3" l="1"/>
  <c r="D969" i="3"/>
  <c r="G969" i="3" s="1"/>
  <c r="AH969" i="3"/>
  <c r="E969" i="3"/>
  <c r="H969" i="3" s="1"/>
  <c r="K969" i="3" s="1"/>
  <c r="AE969" i="3" s="1"/>
  <c r="AG969" i="3"/>
  <c r="F969" i="3" l="1"/>
  <c r="I969" i="3"/>
  <c r="J969" i="3"/>
  <c r="AD969" i="3" s="1"/>
  <c r="M969" i="3"/>
  <c r="N969" i="3" s="1"/>
  <c r="V969" i="3"/>
  <c r="A970" i="3"/>
  <c r="B970" i="3" s="1"/>
  <c r="W969" i="3" l="1"/>
  <c r="AC970" i="3"/>
  <c r="P970" i="3"/>
  <c r="Q970" i="3" s="1"/>
  <c r="R970" i="3" s="1"/>
  <c r="S970" i="3" s="1"/>
  <c r="AA970" i="3"/>
  <c r="Z970" i="3"/>
  <c r="L969" i="3"/>
  <c r="T970" i="3" l="1"/>
  <c r="AG970" i="3" s="1"/>
  <c r="U969" i="3"/>
  <c r="Y968" i="3"/>
  <c r="AH970" i="3" l="1"/>
  <c r="E970" i="3"/>
  <c r="H970" i="3" s="1"/>
  <c r="K970" i="3" s="1"/>
  <c r="AE970" i="3" s="1"/>
  <c r="D970" i="3"/>
  <c r="F970" i="3" l="1"/>
  <c r="G970" i="3"/>
  <c r="I970" i="3" s="1"/>
  <c r="V970" i="3"/>
  <c r="A971" i="3"/>
  <c r="B971" i="3" s="1"/>
  <c r="J970" i="3" l="1"/>
  <c r="W970" i="3"/>
  <c r="M970" i="3"/>
  <c r="N970" i="3" s="1"/>
  <c r="P971" i="3"/>
  <c r="Q971" i="3" s="1"/>
  <c r="R971" i="3" s="1"/>
  <c r="S971" i="3" s="1"/>
  <c r="Z971" i="3"/>
  <c r="AA971" i="3"/>
  <c r="AC971" i="3"/>
  <c r="L970" i="3" l="1"/>
  <c r="U970" i="3" s="1"/>
  <c r="AD970" i="3"/>
  <c r="T971" i="3"/>
  <c r="AH971" i="3" l="1"/>
  <c r="Y969" i="3"/>
  <c r="E971" i="3"/>
  <c r="H971" i="3" s="1"/>
  <c r="K971" i="3" s="1"/>
  <c r="AE971" i="3" s="1"/>
  <c r="AG971" i="3"/>
  <c r="D971" i="3"/>
  <c r="F971" i="3" l="1"/>
  <c r="G971" i="3"/>
  <c r="V971" i="3"/>
  <c r="A972" i="3"/>
  <c r="B972" i="3" s="1"/>
  <c r="P972" i="3" l="1"/>
  <c r="Q972" i="3" s="1"/>
  <c r="R972" i="3" s="1"/>
  <c r="S972" i="3" s="1"/>
  <c r="AC972" i="3"/>
  <c r="Z972" i="3"/>
  <c r="AA972" i="3"/>
  <c r="I971" i="3"/>
  <c r="W971" i="3" s="1"/>
  <c r="J971" i="3"/>
  <c r="AD971" i="3" s="1"/>
  <c r="M971" i="3"/>
  <c r="N971" i="3" s="1"/>
  <c r="L971" i="3" l="1"/>
  <c r="T972" i="3"/>
  <c r="AG972" i="3" l="1"/>
  <c r="AH972" i="3"/>
  <c r="U971" i="3"/>
  <c r="E972" i="3" s="1"/>
  <c r="H972" i="3" s="1"/>
  <c r="Y970" i="3"/>
  <c r="K972" i="3" l="1"/>
  <c r="AE972" i="3" s="1"/>
  <c r="D972" i="3"/>
  <c r="F972" i="3" l="1"/>
  <c r="G972" i="3"/>
  <c r="V972" i="3"/>
  <c r="A973" i="3"/>
  <c r="B973" i="3" s="1"/>
  <c r="AC973" i="3" l="1"/>
  <c r="Z973" i="3"/>
  <c r="P973" i="3"/>
  <c r="Q973" i="3" s="1"/>
  <c r="R973" i="3" s="1"/>
  <c r="S973" i="3" s="1"/>
  <c r="AA973" i="3"/>
  <c r="I972" i="3"/>
  <c r="W972" i="3" s="1"/>
  <c r="J972" i="3"/>
  <c r="AD972" i="3" s="1"/>
  <c r="M972" i="3"/>
  <c r="N972" i="3" s="1"/>
  <c r="L972" i="3" l="1"/>
  <c r="T973" i="3"/>
  <c r="AG973" i="3" l="1"/>
  <c r="U972" i="3"/>
  <c r="D973" i="3" s="1"/>
  <c r="AH973" i="3"/>
  <c r="Y971" i="3"/>
  <c r="E973" i="3" l="1"/>
  <c r="H973" i="3" s="1"/>
  <c r="K973" i="3" s="1"/>
  <c r="AE973" i="3" s="1"/>
  <c r="G973" i="3"/>
  <c r="F973" i="3" l="1"/>
  <c r="V973" i="3"/>
  <c r="A974" i="3"/>
  <c r="B974" i="3" s="1"/>
  <c r="I973" i="3"/>
  <c r="J973" i="3"/>
  <c r="AD973" i="3" s="1"/>
  <c r="M973" i="3"/>
  <c r="N973" i="3" s="1"/>
  <c r="P974" i="3" l="1"/>
  <c r="Q974" i="3" s="1"/>
  <c r="R974" i="3" s="1"/>
  <c r="S974" i="3" s="1"/>
  <c r="AA974" i="3"/>
  <c r="Z974" i="3"/>
  <c r="AC974" i="3"/>
  <c r="L973" i="3"/>
  <c r="W973" i="3"/>
  <c r="U973" i="3" l="1"/>
  <c r="Y972" i="3"/>
  <c r="T974" i="3"/>
  <c r="AG974" i="3" s="1"/>
  <c r="E974" i="3" l="1"/>
  <c r="H974" i="3" s="1"/>
  <c r="AH974" i="3"/>
  <c r="D974" i="3"/>
  <c r="F974" i="3" l="1"/>
  <c r="G974" i="3"/>
  <c r="K974" i="3"/>
  <c r="AE974" i="3" s="1"/>
  <c r="V974" i="3" l="1"/>
  <c r="A975" i="3"/>
  <c r="B975" i="3" s="1"/>
  <c r="I974" i="3"/>
  <c r="J974" i="3"/>
  <c r="AD974" i="3" s="1"/>
  <c r="M974" i="3"/>
  <c r="N974" i="3" s="1"/>
  <c r="AD975" i="3" l="1"/>
  <c r="P975" i="3"/>
  <c r="Q975" i="3" s="1"/>
  <c r="R975" i="3" s="1"/>
  <c r="S975" i="3" s="1"/>
  <c r="Z975" i="3"/>
  <c r="AC975" i="3"/>
  <c r="AA975" i="3"/>
  <c r="L974" i="3"/>
  <c r="W974" i="3"/>
  <c r="T975" i="3" l="1"/>
  <c r="AG975" i="3" s="1"/>
  <c r="U974" i="3"/>
  <c r="Y973" i="3"/>
  <c r="E975" i="3" l="1"/>
  <c r="H975" i="3" s="1"/>
  <c r="K975" i="3" s="1"/>
  <c r="AE975" i="3" s="1"/>
  <c r="AH975" i="3"/>
  <c r="D975" i="3"/>
  <c r="F975" i="3" l="1"/>
  <c r="G975" i="3"/>
  <c r="I975" i="3" s="1"/>
  <c r="V975" i="3"/>
  <c r="A976" i="3"/>
  <c r="B976" i="3" s="1"/>
  <c r="M975" i="3" l="1"/>
  <c r="N975" i="3" s="1"/>
  <c r="J975" i="3"/>
  <c r="L975" i="3" s="1"/>
  <c r="W975" i="3"/>
  <c r="AC976" i="3"/>
  <c r="AA976" i="3"/>
  <c r="AD976" i="3"/>
  <c r="Z976" i="3"/>
  <c r="P976" i="3"/>
  <c r="Q976" i="3" s="1"/>
  <c r="R976" i="3" s="1"/>
  <c r="S976" i="3" s="1"/>
  <c r="T976" i="3" l="1"/>
  <c r="AH976" i="3" s="1"/>
  <c r="U975" i="3"/>
  <c r="Y974" i="3"/>
  <c r="D976" i="3" l="1"/>
  <c r="G976" i="3" s="1"/>
  <c r="AG976" i="3"/>
  <c r="E976" i="3"/>
  <c r="H976" i="3" s="1"/>
  <c r="K976" i="3" s="1"/>
  <c r="AE976" i="3" s="1"/>
  <c r="F976" i="3" l="1"/>
  <c r="V976" i="3"/>
  <c r="A977" i="3"/>
  <c r="B977" i="3" s="1"/>
  <c r="I976" i="3"/>
  <c r="J976" i="3"/>
  <c r="M976" i="3"/>
  <c r="N976" i="3" s="1"/>
  <c r="Z977" i="3" l="1"/>
  <c r="P977" i="3"/>
  <c r="Q977" i="3" s="1"/>
  <c r="R977" i="3" s="1"/>
  <c r="S977" i="3" s="1"/>
  <c r="AD977" i="3"/>
  <c r="AC977" i="3"/>
  <c r="AA977" i="3"/>
  <c r="L976" i="3"/>
  <c r="W976" i="3"/>
  <c r="T977" i="3" l="1"/>
  <c r="AH977" i="3" s="1"/>
  <c r="U976" i="3"/>
  <c r="Y975" i="3"/>
  <c r="D977" i="3" l="1"/>
  <c r="G977" i="3" s="1"/>
  <c r="AG977" i="3"/>
  <c r="E977" i="3"/>
  <c r="H977" i="3" s="1"/>
  <c r="K977" i="3" s="1"/>
  <c r="AE977" i="3" s="1"/>
  <c r="F977" i="3" l="1"/>
  <c r="I977" i="3"/>
  <c r="J977" i="3"/>
  <c r="M977" i="3"/>
  <c r="N977" i="3" s="1"/>
  <c r="V977" i="3"/>
  <c r="A978" i="3"/>
  <c r="B978" i="3" s="1"/>
  <c r="W977" i="3" l="1"/>
  <c r="P978" i="3"/>
  <c r="Q978" i="3" s="1"/>
  <c r="R978" i="3" s="1"/>
  <c r="S978" i="3" s="1"/>
  <c r="Z978" i="3"/>
  <c r="AA978" i="3"/>
  <c r="AD978" i="3"/>
  <c r="AC978" i="3"/>
  <c r="L977" i="3"/>
  <c r="T978" i="3" l="1"/>
  <c r="AG978" i="3" s="1"/>
  <c r="U977" i="3"/>
  <c r="Y976" i="3"/>
  <c r="D978" i="3" l="1"/>
  <c r="G978" i="3" s="1"/>
  <c r="AH978" i="3"/>
  <c r="E978" i="3"/>
  <c r="H978" i="3" s="1"/>
  <c r="K978" i="3" l="1"/>
  <c r="AE978" i="3" s="1"/>
  <c r="I978" i="3"/>
  <c r="J978" i="3"/>
  <c r="M978" i="3"/>
  <c r="N978" i="3" s="1"/>
  <c r="F978" i="3"/>
  <c r="L978" i="3" l="1"/>
  <c r="V978" i="3"/>
  <c r="W978" i="3" s="1"/>
  <c r="A979" i="3"/>
  <c r="B979" i="3" s="1"/>
  <c r="AA979" i="3" l="1"/>
  <c r="Z979" i="3"/>
  <c r="P979" i="3"/>
  <c r="Q979" i="3" s="1"/>
  <c r="R979" i="3" s="1"/>
  <c r="S979" i="3" s="1"/>
  <c r="AD979" i="3"/>
  <c r="AC979" i="3"/>
  <c r="U978" i="3"/>
  <c r="Y977" i="3"/>
  <c r="T979" i="3" l="1"/>
  <c r="E979" i="3" s="1"/>
  <c r="H979" i="3" s="1"/>
  <c r="AH979" i="3" l="1"/>
  <c r="K979" i="3"/>
  <c r="AE979" i="3" s="1"/>
  <c r="D979" i="3"/>
  <c r="AG979" i="3"/>
  <c r="F979" i="3" l="1"/>
  <c r="G979" i="3"/>
  <c r="V979" i="3"/>
  <c r="A980" i="3"/>
  <c r="B980" i="3" s="1"/>
  <c r="AD980" i="3" l="1"/>
  <c r="Z980" i="3"/>
  <c r="AA980" i="3"/>
  <c r="P980" i="3"/>
  <c r="Q980" i="3" s="1"/>
  <c r="R980" i="3" s="1"/>
  <c r="S980" i="3" s="1"/>
  <c r="AC980" i="3"/>
  <c r="I979" i="3"/>
  <c r="W979" i="3" s="1"/>
  <c r="J979" i="3"/>
  <c r="M979" i="3"/>
  <c r="N979" i="3" s="1"/>
  <c r="T980" i="3" l="1"/>
  <c r="L979" i="3"/>
  <c r="U979" i="3" l="1"/>
  <c r="D980" i="3" s="1"/>
  <c r="AH980" i="3"/>
  <c r="AG980" i="3"/>
  <c r="Y978" i="3"/>
  <c r="E980" i="3" l="1"/>
  <c r="H980" i="3" s="1"/>
  <c r="K980" i="3" s="1"/>
  <c r="AE980" i="3" s="1"/>
  <c r="G980" i="3"/>
  <c r="F980" i="3" l="1"/>
  <c r="V980" i="3"/>
  <c r="A981" i="3"/>
  <c r="B981" i="3" s="1"/>
  <c r="I980" i="3"/>
  <c r="J980" i="3"/>
  <c r="M980" i="3"/>
  <c r="N980" i="3" s="1"/>
  <c r="L980" i="3" l="1"/>
  <c r="AD981" i="3"/>
  <c r="AA981" i="3"/>
  <c r="P981" i="3"/>
  <c r="Q981" i="3" s="1"/>
  <c r="R981" i="3" s="1"/>
  <c r="S981" i="3" s="1"/>
  <c r="AC981" i="3"/>
  <c r="Z981" i="3"/>
  <c r="W980" i="3"/>
  <c r="T981" i="3" l="1"/>
  <c r="AH981" i="3" s="1"/>
  <c r="U980" i="3"/>
  <c r="Y979" i="3"/>
  <c r="AG981" i="3" l="1"/>
  <c r="D981" i="3"/>
  <c r="G981" i="3" s="1"/>
  <c r="E981" i="3"/>
  <c r="H981" i="3" s="1"/>
  <c r="K981" i="3" s="1"/>
  <c r="AE981" i="3" s="1"/>
  <c r="F981" i="3" l="1"/>
  <c r="I981" i="3"/>
  <c r="J981" i="3"/>
  <c r="M981" i="3"/>
  <c r="N981" i="3" s="1"/>
  <c r="V981" i="3"/>
  <c r="A982" i="3"/>
  <c r="B982" i="3" s="1"/>
  <c r="W981" i="3" l="1"/>
  <c r="AC982" i="3"/>
  <c r="P982" i="3"/>
  <c r="Q982" i="3" s="1"/>
  <c r="R982" i="3" s="1"/>
  <c r="S982" i="3" s="1"/>
  <c r="AD982" i="3"/>
  <c r="Z982" i="3"/>
  <c r="AA982" i="3"/>
  <c r="L981" i="3"/>
  <c r="T982" i="3" l="1"/>
  <c r="AG982" i="3" s="1"/>
  <c r="U981" i="3"/>
  <c r="Y980" i="3"/>
  <c r="AH982" i="3" l="1"/>
  <c r="D982" i="3"/>
  <c r="G982" i="3" s="1"/>
  <c r="E982" i="3"/>
  <c r="H982" i="3" s="1"/>
  <c r="K982" i="3" s="1"/>
  <c r="AE982" i="3" s="1"/>
  <c r="F982" i="3" l="1"/>
  <c r="V982" i="3"/>
  <c r="A983" i="3"/>
  <c r="B983" i="3" s="1"/>
  <c r="I982" i="3"/>
  <c r="J982" i="3"/>
  <c r="M982" i="3"/>
  <c r="N982" i="3" s="1"/>
  <c r="L982" i="3" l="1"/>
  <c r="AC983" i="3"/>
  <c r="AD983" i="3"/>
  <c r="Z983" i="3"/>
  <c r="AA983" i="3"/>
  <c r="P983" i="3"/>
  <c r="Q983" i="3" s="1"/>
  <c r="R983" i="3" s="1"/>
  <c r="S983" i="3" s="1"/>
  <c r="W982" i="3"/>
  <c r="T983" i="3" l="1"/>
  <c r="U982" i="3"/>
  <c r="Y981" i="3"/>
  <c r="E983" i="3" l="1"/>
  <c r="H983" i="3" s="1"/>
  <c r="K983" i="3" s="1"/>
  <c r="AE983" i="3" s="1"/>
  <c r="D983" i="3"/>
  <c r="G983" i="3" s="1"/>
  <c r="AH983" i="3"/>
  <c r="AG983" i="3"/>
  <c r="F983" i="3" l="1"/>
  <c r="V983" i="3"/>
  <c r="A984" i="3"/>
  <c r="B984" i="3" s="1"/>
  <c r="I983" i="3"/>
  <c r="J983" i="3"/>
  <c r="M983" i="3"/>
  <c r="N983" i="3" s="1"/>
  <c r="P984" i="3" l="1"/>
  <c r="Q984" i="3" s="1"/>
  <c r="R984" i="3" s="1"/>
  <c r="S984" i="3" s="1"/>
  <c r="Z984" i="3"/>
  <c r="AA984" i="3"/>
  <c r="AC984" i="3"/>
  <c r="L983" i="3"/>
  <c r="W983" i="3"/>
  <c r="U983" i="3" l="1"/>
  <c r="Y982" i="3"/>
  <c r="T984" i="3"/>
  <c r="E984" i="3" l="1"/>
  <c r="H984" i="3" s="1"/>
  <c r="K984" i="3" s="1"/>
  <c r="AE984" i="3" s="1"/>
  <c r="AH984" i="3"/>
  <c r="AG984" i="3"/>
  <c r="D984" i="3"/>
  <c r="F984" i="3" l="1"/>
  <c r="G984" i="3"/>
  <c r="I984" i="3" s="1"/>
  <c r="V984" i="3"/>
  <c r="A985" i="3"/>
  <c r="B985" i="3" s="1"/>
  <c r="M984" i="3" l="1"/>
  <c r="N984" i="3" s="1"/>
  <c r="J984" i="3"/>
  <c r="W984" i="3"/>
  <c r="Z985" i="3"/>
  <c r="P985" i="3"/>
  <c r="Q985" i="3" s="1"/>
  <c r="R985" i="3" s="1"/>
  <c r="S985" i="3" s="1"/>
  <c r="AA985" i="3"/>
  <c r="AD985" i="3"/>
  <c r="AC985" i="3"/>
  <c r="L984" i="3" l="1"/>
  <c r="AD984" i="3"/>
  <c r="T985" i="3"/>
  <c r="AG985" i="3" s="1"/>
  <c r="U984" i="3"/>
  <c r="Y983" i="3"/>
  <c r="D985" i="3" l="1"/>
  <c r="G985" i="3" s="1"/>
  <c r="E985" i="3"/>
  <c r="H985" i="3" s="1"/>
  <c r="K985" i="3" s="1"/>
  <c r="AE985" i="3" s="1"/>
  <c r="AH985" i="3"/>
  <c r="F985" i="3" l="1"/>
  <c r="I985" i="3"/>
  <c r="J985" i="3"/>
  <c r="M985" i="3"/>
  <c r="N985" i="3" s="1"/>
  <c r="V985" i="3"/>
  <c r="A986" i="3"/>
  <c r="B986" i="3" s="1"/>
  <c r="W985" i="3" l="1"/>
  <c r="AC986" i="3"/>
  <c r="AA986" i="3"/>
  <c r="AD986" i="3"/>
  <c r="Z986" i="3"/>
  <c r="P986" i="3"/>
  <c r="Q986" i="3" s="1"/>
  <c r="R986" i="3" s="1"/>
  <c r="S986" i="3" s="1"/>
  <c r="L985" i="3"/>
  <c r="T986" i="3" l="1"/>
  <c r="AH986" i="3" s="1"/>
  <c r="U985" i="3"/>
  <c r="Y984" i="3"/>
  <c r="D986" i="3" l="1"/>
  <c r="G986" i="3" s="1"/>
  <c r="AG986" i="3"/>
  <c r="E986" i="3"/>
  <c r="H986" i="3" s="1"/>
  <c r="K986" i="3" s="1"/>
  <c r="AE986" i="3" s="1"/>
  <c r="F986" i="3" l="1"/>
  <c r="I986" i="3"/>
  <c r="J986" i="3"/>
  <c r="M986" i="3"/>
  <c r="N986" i="3" s="1"/>
  <c r="V986" i="3"/>
  <c r="A987" i="3"/>
  <c r="B987" i="3" s="1"/>
  <c r="W986" i="3" l="1"/>
  <c r="AD987" i="3"/>
  <c r="AA987" i="3"/>
  <c r="Z987" i="3"/>
  <c r="AC987" i="3"/>
  <c r="P987" i="3"/>
  <c r="Q987" i="3" s="1"/>
  <c r="R987" i="3" s="1"/>
  <c r="S987" i="3" s="1"/>
  <c r="L986" i="3"/>
  <c r="T987" i="3" l="1"/>
  <c r="AH987" i="3" s="1"/>
  <c r="U986" i="3"/>
  <c r="Y985" i="3"/>
  <c r="D987" i="3" l="1"/>
  <c r="G987" i="3" s="1"/>
  <c r="AG987" i="3"/>
  <c r="E987" i="3"/>
  <c r="H987" i="3" s="1"/>
  <c r="K987" i="3" s="1"/>
  <c r="AE987" i="3" s="1"/>
  <c r="F987" i="3" l="1"/>
  <c r="V987" i="3"/>
  <c r="A988" i="3"/>
  <c r="B988" i="3" s="1"/>
  <c r="I987" i="3"/>
  <c r="J987" i="3"/>
  <c r="M987" i="3"/>
  <c r="N987" i="3" s="1"/>
  <c r="L987" i="3" l="1"/>
  <c r="Z988" i="3"/>
  <c r="AD988" i="3"/>
  <c r="P988" i="3"/>
  <c r="Q988" i="3" s="1"/>
  <c r="R988" i="3" s="1"/>
  <c r="S988" i="3" s="1"/>
  <c r="AA988" i="3"/>
  <c r="AC988" i="3"/>
  <c r="W987" i="3"/>
  <c r="T988" i="3" l="1"/>
  <c r="AH988" i="3" s="1"/>
  <c r="U987" i="3"/>
  <c r="Y986" i="3"/>
  <c r="E988" i="3" l="1"/>
  <c r="H988" i="3" s="1"/>
  <c r="K988" i="3" s="1"/>
  <c r="AE988" i="3" s="1"/>
  <c r="AG988" i="3"/>
  <c r="D988" i="3"/>
  <c r="F988" i="3" l="1"/>
  <c r="G988" i="3"/>
  <c r="I988" i="3" s="1"/>
  <c r="V988" i="3"/>
  <c r="A989" i="3"/>
  <c r="B989" i="3" s="1"/>
  <c r="M988" i="3" l="1"/>
  <c r="N988" i="3" s="1"/>
  <c r="J988" i="3"/>
  <c r="L988" i="3" s="1"/>
  <c r="Z989" i="3"/>
  <c r="AA989" i="3"/>
  <c r="AD989" i="3"/>
  <c r="P989" i="3"/>
  <c r="Q989" i="3" s="1"/>
  <c r="R989" i="3" s="1"/>
  <c r="S989" i="3" s="1"/>
  <c r="AC989" i="3"/>
  <c r="W988" i="3"/>
  <c r="T989" i="3" l="1"/>
  <c r="AG989" i="3" s="1"/>
  <c r="U988" i="3"/>
  <c r="Y987" i="3"/>
  <c r="E989" i="3" l="1"/>
  <c r="H989" i="3" s="1"/>
  <c r="K989" i="3" s="1"/>
  <c r="AE989" i="3" s="1"/>
  <c r="AH989" i="3"/>
  <c r="D989" i="3"/>
  <c r="F989" i="3" l="1"/>
  <c r="G989" i="3"/>
  <c r="I989" i="3" s="1"/>
  <c r="V989" i="3"/>
  <c r="A990" i="3"/>
  <c r="B990" i="3" s="1"/>
  <c r="M989" i="3" l="1"/>
  <c r="N989" i="3" s="1"/>
  <c r="J989" i="3"/>
  <c r="L989" i="3" s="1"/>
  <c r="W989" i="3"/>
  <c r="AA990" i="3"/>
  <c r="P990" i="3"/>
  <c r="Q990" i="3" s="1"/>
  <c r="R990" i="3" s="1"/>
  <c r="S990" i="3" s="1"/>
  <c r="Z990" i="3"/>
  <c r="AD990" i="3"/>
  <c r="AC990" i="3"/>
  <c r="T990" i="3" l="1"/>
  <c r="AH990" i="3" s="1"/>
  <c r="U989" i="3"/>
  <c r="Y988" i="3"/>
  <c r="E990" i="3" l="1"/>
  <c r="H990" i="3" s="1"/>
  <c r="K990" i="3" s="1"/>
  <c r="AE990" i="3" s="1"/>
  <c r="AG990" i="3"/>
  <c r="D990" i="3"/>
  <c r="F990" i="3" l="1"/>
  <c r="G990" i="3"/>
  <c r="I990" i="3" s="1"/>
  <c r="V990" i="3"/>
  <c r="A991" i="3"/>
  <c r="B991" i="3" s="1"/>
  <c r="J990" i="3" l="1"/>
  <c r="L990" i="3" s="1"/>
  <c r="W990" i="3"/>
  <c r="M990" i="3"/>
  <c r="N990" i="3" s="1"/>
  <c r="AD991" i="3"/>
  <c r="AC991" i="3"/>
  <c r="P991" i="3"/>
  <c r="Q991" i="3" s="1"/>
  <c r="R991" i="3" s="1"/>
  <c r="S991" i="3" s="1"/>
  <c r="AA991" i="3"/>
  <c r="Z991" i="3"/>
  <c r="T991" i="3" l="1"/>
  <c r="AH991" i="3" s="1"/>
  <c r="U990" i="3"/>
  <c r="Y989" i="3"/>
  <c r="D991" i="3" l="1"/>
  <c r="G991" i="3" s="1"/>
  <c r="E991" i="3"/>
  <c r="H991" i="3" s="1"/>
  <c r="K991" i="3" s="1"/>
  <c r="AE991" i="3" s="1"/>
  <c r="AG991" i="3"/>
  <c r="F991" i="3" l="1"/>
  <c r="V991" i="3"/>
  <c r="A992" i="3"/>
  <c r="B992" i="3" s="1"/>
  <c r="I991" i="3"/>
  <c r="J991" i="3"/>
  <c r="M991" i="3"/>
  <c r="N991" i="3" s="1"/>
  <c r="L991" i="3" l="1"/>
  <c r="AC992" i="3"/>
  <c r="AA992" i="3"/>
  <c r="AD992" i="3"/>
  <c r="P992" i="3"/>
  <c r="Q992" i="3" s="1"/>
  <c r="R992" i="3" s="1"/>
  <c r="S992" i="3" s="1"/>
  <c r="Z992" i="3"/>
  <c r="W991" i="3"/>
  <c r="U991" i="3" l="1"/>
  <c r="Y990" i="3"/>
  <c r="T992" i="3"/>
  <c r="E992" i="3" l="1"/>
  <c r="H992" i="3" s="1"/>
  <c r="K992" i="3" s="1"/>
  <c r="AE992" i="3" s="1"/>
  <c r="AG992" i="3"/>
  <c r="D992" i="3"/>
  <c r="AH992" i="3"/>
  <c r="F992" i="3" l="1"/>
  <c r="G992" i="3"/>
  <c r="V992" i="3"/>
  <c r="A993" i="3"/>
  <c r="B993" i="3" s="1"/>
  <c r="AA993" i="3" l="1"/>
  <c r="AD993" i="3"/>
  <c r="Z993" i="3"/>
  <c r="AC993" i="3"/>
  <c r="P993" i="3"/>
  <c r="Q993" i="3" s="1"/>
  <c r="R993" i="3" s="1"/>
  <c r="S993" i="3" s="1"/>
  <c r="I992" i="3"/>
  <c r="W992" i="3" s="1"/>
  <c r="J992" i="3"/>
  <c r="M992" i="3"/>
  <c r="N992" i="3" s="1"/>
  <c r="L992" i="3" l="1"/>
  <c r="T993" i="3"/>
  <c r="AG993" i="3" l="1"/>
  <c r="AH993" i="3"/>
  <c r="U992" i="3"/>
  <c r="D993" i="3" s="1"/>
  <c r="Y991" i="3"/>
  <c r="E993" i="3" l="1"/>
  <c r="H993" i="3" s="1"/>
  <c r="K993" i="3" s="1"/>
  <c r="AE993" i="3" s="1"/>
  <c r="G993" i="3"/>
  <c r="F993" i="3" l="1"/>
  <c r="V993" i="3"/>
  <c r="A994" i="3"/>
  <c r="B994" i="3" s="1"/>
  <c r="I993" i="3"/>
  <c r="J993" i="3"/>
  <c r="M993" i="3"/>
  <c r="N993" i="3" s="1"/>
  <c r="L993" i="3" l="1"/>
  <c r="W993" i="3"/>
  <c r="AD994" i="3"/>
  <c r="AA994" i="3"/>
  <c r="AC994" i="3"/>
  <c r="Z994" i="3"/>
  <c r="P994" i="3"/>
  <c r="Q994" i="3" s="1"/>
  <c r="R994" i="3" s="1"/>
  <c r="S994" i="3" s="1"/>
  <c r="T994" i="3" l="1"/>
  <c r="AG994" i="3" s="1"/>
  <c r="U993" i="3"/>
  <c r="Y992" i="3"/>
  <c r="E994" i="3" l="1"/>
  <c r="H994" i="3" s="1"/>
  <c r="K994" i="3" s="1"/>
  <c r="AE994" i="3" s="1"/>
  <c r="AH994" i="3"/>
  <c r="D994" i="3"/>
  <c r="F994" i="3" l="1"/>
  <c r="G994" i="3"/>
  <c r="V994" i="3"/>
  <c r="A995" i="3"/>
  <c r="B995" i="3" s="1"/>
  <c r="AD995" i="3" l="1"/>
  <c r="AC995" i="3"/>
  <c r="AA995" i="3"/>
  <c r="Z995" i="3"/>
  <c r="P995" i="3"/>
  <c r="Q995" i="3" s="1"/>
  <c r="R995" i="3" s="1"/>
  <c r="S995" i="3" s="1"/>
  <c r="I994" i="3"/>
  <c r="W994" i="3" s="1"/>
  <c r="J994" i="3"/>
  <c r="M994" i="3"/>
  <c r="N994" i="3" s="1"/>
  <c r="T995" i="3" l="1"/>
  <c r="L994" i="3"/>
  <c r="AH995" i="3" l="1"/>
  <c r="AG995" i="3"/>
  <c r="U994" i="3"/>
  <c r="D995" i="3" s="1"/>
  <c r="Y993" i="3"/>
  <c r="G995" i="3" l="1"/>
  <c r="E995" i="3"/>
  <c r="H995" i="3" s="1"/>
  <c r="K995" i="3" l="1"/>
  <c r="AE995" i="3" s="1"/>
  <c r="I995" i="3"/>
  <c r="J995" i="3"/>
  <c r="M995" i="3"/>
  <c r="N995" i="3" s="1"/>
  <c r="F995" i="3"/>
  <c r="L995" i="3" l="1"/>
  <c r="V995" i="3"/>
  <c r="W995" i="3" s="1"/>
  <c r="A996" i="3"/>
  <c r="B996" i="3" s="1"/>
  <c r="AA996" i="3" l="1"/>
  <c r="Z996" i="3"/>
  <c r="AD996" i="3"/>
  <c r="P996" i="3"/>
  <c r="Q996" i="3" s="1"/>
  <c r="R996" i="3" s="1"/>
  <c r="S996" i="3" s="1"/>
  <c r="AC996" i="3"/>
  <c r="U995" i="3"/>
  <c r="Y994" i="3"/>
  <c r="T996" i="3" l="1"/>
  <c r="AH996" i="3" s="1"/>
  <c r="AG996" i="3" l="1"/>
  <c r="E996" i="3"/>
  <c r="H996" i="3" s="1"/>
  <c r="K996" i="3" s="1"/>
  <c r="AE996" i="3" s="1"/>
  <c r="D996" i="3"/>
  <c r="G996" i="3" s="1"/>
  <c r="F996" i="3" l="1"/>
  <c r="I996" i="3"/>
  <c r="J996" i="3"/>
  <c r="M996" i="3"/>
  <c r="N996" i="3" s="1"/>
  <c r="V996" i="3"/>
  <c r="A997" i="3"/>
  <c r="B997" i="3" s="1"/>
  <c r="W996" i="3" l="1"/>
  <c r="AD997" i="3"/>
  <c r="P997" i="3"/>
  <c r="Q997" i="3" s="1"/>
  <c r="R997" i="3" s="1"/>
  <c r="S997" i="3" s="1"/>
  <c r="AA997" i="3"/>
  <c r="Z997" i="3"/>
  <c r="AC997" i="3"/>
  <c r="L996" i="3"/>
  <c r="T997" i="3" l="1"/>
  <c r="AH997" i="3" s="1"/>
  <c r="U996" i="3"/>
  <c r="Y995" i="3"/>
  <c r="AG997" i="3" l="1"/>
  <c r="E997" i="3"/>
  <c r="H997" i="3" s="1"/>
  <c r="K997" i="3" s="1"/>
  <c r="AE997" i="3" s="1"/>
  <c r="D997" i="3"/>
  <c r="F997" i="3" l="1"/>
  <c r="G997" i="3"/>
  <c r="I997" i="3" s="1"/>
  <c r="V997" i="3"/>
  <c r="A998" i="3"/>
  <c r="B998" i="3" s="1"/>
  <c r="M997" i="3" l="1"/>
  <c r="N997" i="3" s="1"/>
  <c r="W997" i="3"/>
  <c r="J997" i="3"/>
  <c r="L997" i="3" s="1"/>
  <c r="Z998" i="3"/>
  <c r="AC998" i="3"/>
  <c r="AA998" i="3"/>
  <c r="AD998" i="3"/>
  <c r="P998" i="3"/>
  <c r="Q998" i="3" s="1"/>
  <c r="R998" i="3" s="1"/>
  <c r="S998" i="3" s="1"/>
  <c r="T998" i="3" l="1"/>
  <c r="AG998" i="3" s="1"/>
  <c r="U997" i="3"/>
  <c r="Y996" i="3"/>
  <c r="AH998" i="3" l="1"/>
  <c r="E998" i="3"/>
  <c r="H998" i="3" s="1"/>
  <c r="K998" i="3" s="1"/>
  <c r="AE998" i="3" s="1"/>
  <c r="D998" i="3"/>
  <c r="F998" i="3" l="1"/>
  <c r="G998" i="3"/>
  <c r="I998" i="3" s="1"/>
  <c r="V998" i="3"/>
  <c r="A999" i="3"/>
  <c r="B999" i="3" s="1"/>
  <c r="M998" i="3" l="1"/>
  <c r="N998" i="3" s="1"/>
  <c r="J998" i="3"/>
  <c r="L998" i="3" s="1"/>
  <c r="AC999" i="3"/>
  <c r="P999" i="3"/>
  <c r="Q999" i="3" s="1"/>
  <c r="R999" i="3" s="1"/>
  <c r="S999" i="3" s="1"/>
  <c r="AA999" i="3"/>
  <c r="Z999" i="3"/>
  <c r="AD999" i="3"/>
  <c r="W998" i="3"/>
  <c r="T999" i="3" l="1"/>
  <c r="AG999" i="3" s="1"/>
  <c r="U998" i="3"/>
  <c r="Y997" i="3"/>
  <c r="E999" i="3" l="1"/>
  <c r="H999" i="3" s="1"/>
  <c r="K999" i="3" s="1"/>
  <c r="AE999" i="3" s="1"/>
  <c r="AH999" i="3"/>
  <c r="D999" i="3"/>
  <c r="F999" i="3" l="1"/>
  <c r="G999" i="3"/>
  <c r="V999" i="3"/>
  <c r="A1000" i="3"/>
  <c r="B1000" i="3" s="1"/>
  <c r="I999" i="3" l="1"/>
  <c r="W999" i="3" s="1"/>
  <c r="J999" i="3"/>
  <c r="M999" i="3"/>
  <c r="N999" i="3" s="1"/>
  <c r="P1000" i="3"/>
  <c r="Q1000" i="3" s="1"/>
  <c r="R1000" i="3" s="1"/>
  <c r="S1000" i="3" s="1"/>
  <c r="Z1000" i="3"/>
  <c r="AC1000" i="3"/>
  <c r="AA1000" i="3"/>
  <c r="AD1000" i="3"/>
  <c r="T1000" i="3" l="1"/>
  <c r="L999" i="3"/>
  <c r="AH1000" i="3" l="1"/>
  <c r="U999" i="3"/>
  <c r="E1000" i="3" s="1"/>
  <c r="H1000" i="3" s="1"/>
  <c r="AG1000" i="3"/>
  <c r="Y998" i="3"/>
  <c r="D1000" i="3" l="1"/>
  <c r="F1000" i="3" s="1"/>
  <c r="K1000" i="3"/>
  <c r="AE1000" i="3" s="1"/>
  <c r="G1000" i="3" l="1"/>
  <c r="I1000" i="3" s="1"/>
  <c r="V1000" i="3"/>
  <c r="A1001" i="3"/>
  <c r="B1001" i="3" s="1"/>
  <c r="M1000" i="3" l="1"/>
  <c r="N1000" i="3" s="1"/>
  <c r="J1000" i="3"/>
  <c r="L1000" i="3" s="1"/>
  <c r="Z1001" i="3"/>
  <c r="AA1001" i="3"/>
  <c r="P1001" i="3"/>
  <c r="Q1001" i="3" s="1"/>
  <c r="R1001" i="3" s="1"/>
  <c r="S1001" i="3" s="1"/>
  <c r="AD1001" i="3"/>
  <c r="AC1001" i="3"/>
  <c r="W1000" i="3"/>
  <c r="T1001" i="3" l="1"/>
  <c r="AH1001" i="3" s="1"/>
  <c r="U1000" i="3"/>
  <c r="Y999" i="3"/>
  <c r="D1001" i="3" l="1"/>
  <c r="G1001" i="3" s="1"/>
  <c r="E1001" i="3"/>
  <c r="H1001" i="3" s="1"/>
  <c r="K1001" i="3" s="1"/>
  <c r="AE1001" i="3" s="1"/>
  <c r="AG1001" i="3"/>
  <c r="F1001" i="3" l="1"/>
  <c r="V1001" i="3"/>
  <c r="A1002" i="3"/>
  <c r="B1002" i="3" s="1"/>
  <c r="I1001" i="3"/>
  <c r="J1001" i="3"/>
  <c r="M1001" i="3"/>
  <c r="N1001" i="3" s="1"/>
  <c r="L1001" i="3" l="1"/>
  <c r="AD1002" i="3"/>
  <c r="P1002" i="3"/>
  <c r="Q1002" i="3" s="1"/>
  <c r="R1002" i="3" s="1"/>
  <c r="S1002" i="3" s="1"/>
  <c r="AC1002" i="3"/>
  <c r="AA1002" i="3"/>
  <c r="Z1002" i="3"/>
  <c r="W1001" i="3"/>
  <c r="T1002" i="3" l="1"/>
  <c r="AG1002" i="3" s="1"/>
  <c r="U1001" i="3"/>
  <c r="Y1000" i="3"/>
  <c r="AH1002" i="3" l="1"/>
  <c r="D1002" i="3"/>
  <c r="G1002" i="3" s="1"/>
  <c r="E1002" i="3"/>
  <c r="H1002" i="3" s="1"/>
  <c r="K1002" i="3" s="1"/>
  <c r="AE1002" i="3" s="1"/>
  <c r="F1002" i="3" l="1"/>
  <c r="V1002" i="3"/>
  <c r="A1003" i="3"/>
  <c r="B1003" i="3" s="1"/>
  <c r="I1002" i="3"/>
  <c r="J1002" i="3"/>
  <c r="M1002" i="3"/>
  <c r="N1002" i="3" s="1"/>
  <c r="AA1003" i="3" l="1"/>
  <c r="Z1003" i="3"/>
  <c r="P1003" i="3"/>
  <c r="Q1003" i="3" s="1"/>
  <c r="R1003" i="3" s="1"/>
  <c r="S1003" i="3" s="1"/>
  <c r="AC1003" i="3"/>
  <c r="AD1003" i="3"/>
  <c r="L1002" i="3"/>
  <c r="W1002" i="3"/>
  <c r="T1003" i="3" l="1"/>
  <c r="AG1003" i="3" s="1"/>
  <c r="U1002" i="3"/>
  <c r="Y1001" i="3"/>
  <c r="D1003" i="3" l="1"/>
  <c r="G1003" i="3" s="1"/>
  <c r="AH1003" i="3"/>
  <c r="E1003" i="3"/>
  <c r="H1003" i="3" s="1"/>
  <c r="K1003" i="3" s="1"/>
  <c r="AE1003" i="3" s="1"/>
  <c r="F1003" i="3" l="1"/>
  <c r="I1003" i="3"/>
  <c r="J1003" i="3"/>
  <c r="M1003" i="3"/>
  <c r="N1003" i="3" s="1"/>
  <c r="V1003" i="3"/>
  <c r="A1004" i="3"/>
  <c r="B1004" i="3" s="1"/>
  <c r="W1003" i="3" l="1"/>
  <c r="AD1004" i="3"/>
  <c r="AC1004" i="3"/>
  <c r="AA1004" i="3"/>
  <c r="Z1004" i="3"/>
  <c r="P1004" i="3"/>
  <c r="Q1004" i="3" s="1"/>
  <c r="R1004" i="3" s="1"/>
  <c r="S1004" i="3" s="1"/>
  <c r="T1004" i="3" s="1"/>
  <c r="L1003" i="3"/>
  <c r="K46" i="1" l="1"/>
  <c r="I46" i="1"/>
  <c r="J27" i="1"/>
  <c r="L46" i="1"/>
  <c r="K27" i="1"/>
  <c r="I27" i="1"/>
  <c r="M46" i="1"/>
  <c r="J46" i="1"/>
  <c r="AG1004" i="3"/>
  <c r="AH1004" i="3"/>
  <c r="U1003" i="3"/>
  <c r="D1004" i="3" s="1"/>
  <c r="Y1002" i="3"/>
  <c r="J48" i="1"/>
  <c r="I25" i="1"/>
  <c r="K48" i="1"/>
  <c r="L48" i="1"/>
  <c r="J25" i="1"/>
  <c r="I48" i="1"/>
  <c r="K25" i="1"/>
  <c r="M48" i="1"/>
  <c r="C146" i="1" l="1"/>
  <c r="C147" i="1" s="1"/>
  <c r="C141" i="1"/>
  <c r="C143" i="1"/>
  <c r="C139" i="1"/>
  <c r="C138" i="1"/>
  <c r="B141" i="1"/>
  <c r="B145" i="1"/>
  <c r="B140" i="1"/>
  <c r="B143" i="1"/>
  <c r="B142" i="1"/>
  <c r="B146" i="1"/>
  <c r="B144" i="1"/>
  <c r="E1004" i="3"/>
  <c r="H1004" i="3" s="1"/>
  <c r="K1004" i="3" s="1"/>
  <c r="AE1004" i="3" s="1"/>
  <c r="G1004" i="3"/>
  <c r="C122" i="1"/>
  <c r="C155" i="1"/>
  <c r="C129" i="1"/>
  <c r="C130" i="1" s="1"/>
  <c r="C126" i="1"/>
  <c r="C121" i="1"/>
  <c r="C31" i="1"/>
  <c r="C33" i="1"/>
  <c r="J47" i="1" s="1"/>
  <c r="C124" i="1"/>
  <c r="H72" i="7"/>
  <c r="H73" i="7" s="1"/>
  <c r="M27" i="1"/>
  <c r="H70" i="7"/>
  <c r="M25" i="1"/>
  <c r="I72" i="7"/>
  <c r="I73" i="7" s="1"/>
  <c r="I70" i="7"/>
  <c r="B125" i="1"/>
  <c r="B123" i="1"/>
  <c r="B127" i="1"/>
  <c r="B128" i="1"/>
  <c r="B124" i="1"/>
  <c r="D155" i="1"/>
  <c r="B126" i="1"/>
  <c r="B129" i="1"/>
  <c r="D33" i="1"/>
  <c r="J49" i="1" s="1"/>
  <c r="D31" i="1"/>
  <c r="F1004" i="3" l="1"/>
  <c r="H47" i="1"/>
  <c r="C32" i="1"/>
  <c r="E31" i="7"/>
  <c r="I1004" i="3"/>
  <c r="J1004" i="3"/>
  <c r="L1004" i="3" s="1"/>
  <c r="Y1004" i="3" s="1"/>
  <c r="M1004" i="3"/>
  <c r="N1004" i="3" s="1"/>
  <c r="V1004" i="3"/>
  <c r="D32" i="1"/>
  <c r="H49" i="1"/>
  <c r="L42" i="1"/>
  <c r="L24" i="1"/>
  <c r="B154" i="1" l="1"/>
  <c r="B152" i="1"/>
  <c r="B150" i="1"/>
  <c r="B149" i="1" s="1"/>
  <c r="W1004" i="3"/>
  <c r="M43" i="1"/>
  <c r="L43" i="1"/>
  <c r="H43" i="1"/>
  <c r="H41" i="1"/>
  <c r="M41" i="1"/>
  <c r="K41" i="1"/>
  <c r="K43" i="1"/>
  <c r="I43" i="1"/>
  <c r="I41" i="1"/>
  <c r="M44" i="1"/>
  <c r="J45" i="1"/>
  <c r="L44" i="1"/>
  <c r="J43" i="1"/>
  <c r="K44" i="1"/>
  <c r="U1004" i="3"/>
  <c r="Y1003" i="3"/>
  <c r="L41" i="1" s="1"/>
  <c r="E120" i="7"/>
  <c r="F120" i="7" s="1"/>
  <c r="E62" i="7"/>
  <c r="F62" i="7" s="1"/>
  <c r="E119" i="7"/>
  <c r="F119" i="7" s="1"/>
  <c r="E133" i="7"/>
  <c r="L31" i="7"/>
  <c r="H117" i="7"/>
  <c r="E65" i="7"/>
  <c r="F65" i="7" s="1"/>
  <c r="E63" i="7"/>
  <c r="F63" i="7" s="1"/>
  <c r="H59" i="7"/>
  <c r="K42" i="1"/>
  <c r="K24" i="1"/>
  <c r="B135" i="1"/>
  <c r="B133" i="1"/>
  <c r="B132" i="1" s="1"/>
  <c r="F133" i="1"/>
  <c r="B137" i="1"/>
  <c r="F134" i="1"/>
  <c r="C133" i="1"/>
  <c r="C135" i="1"/>
  <c r="K26" i="1" l="1"/>
  <c r="H55" i="7" s="1"/>
  <c r="H45" i="1"/>
  <c r="H44" i="1"/>
  <c r="M45" i="1"/>
  <c r="I26" i="1"/>
  <c r="B192" i="1" s="1"/>
  <c r="L45" i="1"/>
  <c r="I44" i="1"/>
  <c r="H28" i="1"/>
  <c r="F132" i="1" s="1"/>
  <c r="J28" i="1"/>
  <c r="H19" i="7" s="1"/>
  <c r="H26" i="1"/>
  <c r="J41" i="1"/>
  <c r="J44" i="1"/>
  <c r="K23" i="1"/>
  <c r="F21" i="1" s="1"/>
  <c r="K45" i="1"/>
  <c r="K28" i="1" s="1"/>
  <c r="M28" i="1" s="1"/>
  <c r="J26" i="1"/>
  <c r="D181" i="1" s="1"/>
  <c r="H58" i="7"/>
  <c r="M31" i="7"/>
  <c r="E121" i="7"/>
  <c r="F121" i="7" s="1"/>
  <c r="H116" i="7"/>
  <c r="E64" i="7"/>
  <c r="F64" i="7" s="1"/>
  <c r="H114" i="7" l="1"/>
  <c r="E128" i="7"/>
  <c r="E129" i="7" s="1"/>
  <c r="F129" i="7" s="1"/>
  <c r="K31" i="7"/>
  <c r="B158" i="1"/>
  <c r="H31" i="7"/>
  <c r="B161" i="1"/>
  <c r="B199" i="1"/>
  <c r="B164" i="1"/>
  <c r="H54" i="7"/>
  <c r="B180" i="1"/>
  <c r="B183" i="1"/>
  <c r="B187" i="1"/>
  <c r="B168" i="1"/>
  <c r="B173" i="1"/>
  <c r="B169" i="1"/>
  <c r="C118" i="1"/>
  <c r="B195" i="1"/>
  <c r="B163" i="1"/>
  <c r="B174" i="1"/>
  <c r="B179" i="1"/>
  <c r="B198" i="1"/>
  <c r="B171" i="1"/>
  <c r="B190" i="1"/>
  <c r="H113" i="7"/>
  <c r="B172" i="1"/>
  <c r="B193" i="1"/>
  <c r="B186" i="1"/>
  <c r="B120" i="1"/>
  <c r="B166" i="1"/>
  <c r="C156" i="1"/>
  <c r="B188" i="1"/>
  <c r="B167" i="1"/>
  <c r="B182" i="1"/>
  <c r="B194" i="1"/>
  <c r="B185" i="1"/>
  <c r="B176" i="1"/>
  <c r="B165" i="1"/>
  <c r="B170" i="1"/>
  <c r="S26" i="6"/>
  <c r="B162" i="1"/>
  <c r="B181" i="1"/>
  <c r="B175" i="1"/>
  <c r="B184" i="1"/>
  <c r="B191" i="1"/>
  <c r="B196" i="1"/>
  <c r="B197" i="1"/>
  <c r="B189" i="1"/>
  <c r="F150" i="1"/>
  <c r="F151" i="1"/>
  <c r="H112" i="7"/>
  <c r="S25" i="6"/>
  <c r="H44" i="7"/>
  <c r="P29" i="1"/>
  <c r="H57" i="7"/>
  <c r="P32" i="1"/>
  <c r="D31" i="7"/>
  <c r="H53" i="7"/>
  <c r="H115" i="7"/>
  <c r="H56" i="7"/>
  <c r="P31" i="1"/>
  <c r="I67" i="7"/>
  <c r="J31" i="7"/>
  <c r="F184" i="1"/>
  <c r="F196" i="1"/>
  <c r="D177" i="1"/>
  <c r="D160" i="1"/>
  <c r="F181" i="1"/>
  <c r="H11" i="7"/>
  <c r="D182" i="1"/>
  <c r="P30" i="1"/>
  <c r="F172" i="1"/>
  <c r="D172" i="1"/>
  <c r="D166" i="1"/>
  <c r="D167" i="1"/>
  <c r="D184" i="1"/>
  <c r="D168" i="1"/>
  <c r="F190" i="1"/>
  <c r="D164" i="1"/>
  <c r="D156" i="1"/>
  <c r="D194" i="1"/>
  <c r="D185" i="1"/>
  <c r="D179" i="1"/>
  <c r="D195" i="1"/>
  <c r="D170" i="1"/>
  <c r="F178" i="1"/>
  <c r="D188" i="1"/>
  <c r="F189" i="1"/>
  <c r="F182" i="1"/>
  <c r="F169" i="1"/>
  <c r="F186" i="1"/>
  <c r="F159" i="1"/>
  <c r="F185" i="1"/>
  <c r="D183" i="1"/>
  <c r="D180" i="1"/>
  <c r="D197" i="1"/>
  <c r="F187" i="1"/>
  <c r="F161" i="1"/>
  <c r="F168" i="1"/>
  <c r="D159" i="1"/>
  <c r="D174" i="1"/>
  <c r="F174" i="1"/>
  <c r="D169" i="1"/>
  <c r="D189" i="1"/>
  <c r="D173" i="1"/>
  <c r="F166" i="1"/>
  <c r="D165" i="1"/>
  <c r="D191" i="1"/>
  <c r="F177" i="1"/>
  <c r="F173" i="1"/>
  <c r="F160" i="1"/>
  <c r="D162" i="1"/>
  <c r="F179" i="1"/>
  <c r="D161" i="1"/>
  <c r="D187" i="1"/>
  <c r="F167" i="1"/>
  <c r="D163" i="1"/>
  <c r="F164" i="1"/>
  <c r="F162" i="1"/>
  <c r="F194" i="1"/>
  <c r="F197" i="1"/>
  <c r="F171" i="1"/>
  <c r="D196" i="1"/>
  <c r="D171" i="1"/>
  <c r="D190" i="1"/>
  <c r="F191" i="1"/>
  <c r="D193" i="1"/>
  <c r="F193" i="1"/>
  <c r="D186" i="1"/>
  <c r="F165" i="1"/>
  <c r="D178" i="1"/>
  <c r="F183" i="1"/>
  <c r="F180" i="1"/>
  <c r="D192" i="1"/>
  <c r="F195" i="1"/>
  <c r="F188" i="1"/>
  <c r="F163" i="1"/>
  <c r="F192" i="1"/>
  <c r="F170" i="1"/>
  <c r="C134" i="1"/>
  <c r="B134" i="1"/>
  <c r="C132" i="1"/>
  <c r="B136" i="1"/>
  <c r="B153" i="1" l="1"/>
  <c r="C149" i="1"/>
  <c r="C151" i="1"/>
  <c r="B151" i="1"/>
  <c r="F128" i="7"/>
  <c r="U20" i="7"/>
  <c r="K23" i="7"/>
  <c r="J92" i="7"/>
  <c r="O9" i="6"/>
  <c r="M24" i="6" s="1"/>
  <c r="K26" i="7" l="1"/>
  <c r="D129" i="6"/>
  <c r="D130" i="6" s="1"/>
  <c r="E130" i="6" s="1"/>
  <c r="H31" i="6"/>
  <c r="I31" i="6"/>
  <c r="D128" i="6"/>
  <c r="E128" i="6" s="1"/>
  <c r="C129" i="6"/>
  <c r="J86" i="7"/>
  <c r="U13" i="7"/>
  <c r="C128" i="6"/>
  <c r="E129" i="6" l="1"/>
  <c r="C153" i="6"/>
  <c r="B192" i="6"/>
  <c r="B191" i="6"/>
  <c r="C154" i="6"/>
  <c r="I29" i="6"/>
  <c r="C157" i="6"/>
  <c r="C156" i="6" s="1"/>
  <c r="C151" i="6"/>
  <c r="H32" i="6"/>
  <c r="H29" i="6"/>
  <c r="B193" i="6"/>
  <c r="C152" i="6"/>
  <c r="I32" i="6"/>
  <c r="I30" i="6" l="1"/>
  <c r="I14" i="7"/>
  <c r="I47" i="7"/>
  <c r="S29" i="6"/>
  <c r="B194" i="6"/>
  <c r="H14" i="7"/>
  <c r="H30" i="6"/>
  <c r="H47" i="7"/>
  <c r="B190" i="6"/>
  <c r="H48" i="7" l="1"/>
  <c r="H15" i="7"/>
  <c r="S30" i="6"/>
  <c r="H33" i="6"/>
  <c r="I15" i="7"/>
  <c r="I4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M363040</author>
    <author>Léo Côme</author>
    <author>collectif</author>
  </authors>
  <commentList>
    <comment ref="M5" authorId="0" shapeId="0" xr:uid="{C00A2927-28AD-A644-9363-AEB0698AAD35}">
      <text>
        <r>
          <rPr>
            <sz val="8"/>
            <color rgb="FF000000"/>
            <rFont val="Tahoma"/>
            <family val="2"/>
          </rPr>
          <t xml:space="preserve">Définir les propriétés du 1er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1st diameter transition.
</t>
        </r>
        <r>
          <rPr>
            <i/>
            <sz val="8"/>
            <color rgb="FF000000"/>
            <rFont val="Tahoma"/>
            <family val="2"/>
          </rPr>
          <t>Leave this column blank if no skirt/shrink on the rocket.</t>
        </r>
      </text>
    </comment>
    <comment ref="O5" authorId="0" shapeId="0" xr:uid="{A6AA1789-92C0-7140-B69E-1B383ED6F936}">
      <text>
        <r>
          <rPr>
            <sz val="8"/>
            <color rgb="FF000000"/>
            <rFont val="Tahoma"/>
            <family val="2"/>
          </rPr>
          <t xml:space="preserve">Définir les propriétés du 2e changement de diamètre.
</t>
        </r>
        <r>
          <rPr>
            <sz val="8"/>
            <color rgb="FF000000"/>
            <rFont val="Tahoma"/>
            <family val="2"/>
          </rPr>
          <t xml:space="preserve">Laisser cette colonne vide si la fusée n'a pas de 2e Jupe ou Rétreint.
</t>
        </r>
        <r>
          <rPr>
            <i/>
            <sz val="8"/>
            <color rgb="FF000000"/>
            <rFont val="Tahoma"/>
            <family val="2"/>
          </rPr>
          <t xml:space="preserve">Set properties of the 2nd diameter transition.
</t>
        </r>
        <r>
          <rPr>
            <i/>
            <sz val="8"/>
            <color rgb="FF000000"/>
            <rFont val="Tahoma"/>
            <family val="2"/>
          </rPr>
          <t>Leave this column blank if no 2nd skirt/shrink on the rocket.</t>
        </r>
      </text>
    </comment>
    <comment ref="L6" authorId="1" shapeId="0" xr:uid="{9494616D-946E-B442-8557-DC8A1986DF1E}">
      <text>
        <r>
          <rPr>
            <b/>
            <sz val="8"/>
            <color rgb="FF000000"/>
            <rFont val="Tahoma"/>
            <family val="2"/>
          </rPr>
          <t>Hauteur</t>
        </r>
        <r>
          <rPr>
            <sz val="8"/>
            <color rgb="FF000000"/>
            <rFont val="Tahoma"/>
            <family val="2"/>
          </rPr>
          <t xml:space="preserve"> du changement de diamètre (cf. schéma sur fond bleu).
</t>
        </r>
        <r>
          <rPr>
            <i/>
            <sz val="8"/>
            <color rgb="FF000000"/>
            <rFont val="Tahoma"/>
            <family val="2"/>
          </rPr>
          <t>Height of the tronconical transition (cf. blue schematic).</t>
        </r>
      </text>
    </comment>
    <comment ref="L7" authorId="1" shapeId="0" xr:uid="{BF1BE417-36BC-4F4F-93BB-8FE992761D7B}">
      <text>
        <r>
          <rPr>
            <sz val="8"/>
            <color indexed="8"/>
            <rFont val="Tahoma"/>
            <family val="2"/>
          </rPr>
          <t xml:space="preserve">Diamètre de la partie située </t>
        </r>
        <r>
          <rPr>
            <b/>
            <sz val="8"/>
            <color indexed="8"/>
            <rFont val="Tahoma"/>
            <family val="2"/>
          </rPr>
          <t>au dessus</t>
        </r>
        <r>
          <rPr>
            <sz val="8"/>
            <color indexed="8"/>
            <rFont val="Tahoma"/>
            <family val="2"/>
          </rPr>
          <t xml:space="preserve"> du changement de diamètre.
</t>
        </r>
        <r>
          <rPr>
            <i/>
            <sz val="8"/>
            <color indexed="8"/>
            <rFont val="Tahoma"/>
            <family val="2"/>
          </rPr>
          <t>Upper Diameter (cf. blue schematic).</t>
        </r>
      </text>
    </comment>
    <comment ref="L8" authorId="1" shapeId="0" xr:uid="{5DEDB60A-839F-2942-8F3B-65DF0E627593}">
      <text>
        <r>
          <rPr>
            <sz val="8"/>
            <color rgb="FF000000"/>
            <rFont val="Tahoma"/>
            <family val="2"/>
          </rPr>
          <t xml:space="preserve">Diamètre de la partie située </t>
        </r>
        <r>
          <rPr>
            <b/>
            <sz val="8"/>
            <color rgb="FF000000"/>
            <rFont val="Tahoma"/>
            <family val="2"/>
          </rPr>
          <t>en dessous</t>
        </r>
        <r>
          <rPr>
            <sz val="8"/>
            <color rgb="FF000000"/>
            <rFont val="Tahoma"/>
            <family val="2"/>
          </rPr>
          <t xml:space="preserve"> du changement de diamètre.
</t>
        </r>
        <r>
          <rPr>
            <i/>
            <sz val="8"/>
            <color rgb="FF000000"/>
            <rFont val="Tahoma"/>
            <family val="2"/>
          </rPr>
          <t>Lower Diameter (cf. blue schematic).</t>
        </r>
      </text>
    </comment>
    <comment ref="L9" authorId="0" shapeId="0" xr:uid="{B9E21278-845F-DB49-AFD0-8873114166F8}">
      <text>
        <r>
          <rPr>
            <sz val="8"/>
            <color rgb="FF000000"/>
            <rFont val="Tahoma"/>
            <family val="2"/>
          </rPr>
          <t xml:space="preserve">Distance entre la pointe de l'ogive et le haut du changement de diamètre.
</t>
        </r>
        <r>
          <rPr>
            <i/>
            <sz val="8"/>
            <color rgb="FF000000"/>
            <rFont val="Tahoma"/>
            <family val="2"/>
          </rPr>
          <t>Distance betwenn the tip of the nose cone and the top of the skirt/shrink.</t>
        </r>
      </text>
    </comment>
    <comment ref="B12" authorId="0" shapeId="0" xr:uid="{93B9D8F2-F1D4-754A-9B86-D9F96E761342}">
      <text>
        <r>
          <rPr>
            <sz val="8"/>
            <color indexed="8"/>
            <rFont val="Tahoma"/>
            <family val="2"/>
          </rPr>
          <t xml:space="preserve">Position du </t>
        </r>
        <r>
          <rPr>
            <b/>
            <sz val="8"/>
            <color indexed="8"/>
            <rFont val="Tahoma"/>
            <family val="2"/>
          </rPr>
          <t>Centre de Masse</t>
        </r>
        <r>
          <rPr>
            <sz val="8"/>
            <color indexed="8"/>
            <rFont val="Tahoma"/>
            <family val="2"/>
          </rPr>
          <t xml:space="preserve"> (CdG) par rapport à la pointe de l'ogive,
à mesurer ou estimer sur votre fusée.
</t>
        </r>
        <r>
          <rPr>
            <i/>
            <sz val="8"/>
            <color indexed="8"/>
            <rFont val="Tahoma"/>
            <family val="2"/>
          </rPr>
          <t>Position of Center of Mass (CoG) from the top of the nose cone.</t>
        </r>
      </text>
    </comment>
    <comment ref="S12" authorId="0" shapeId="0" xr:uid="{17012B0E-EF1A-9843-B1DF-359F94FF382D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haut</t>
        </r>
        <r>
          <rPr>
            <sz val="8"/>
            <color indexed="8"/>
            <rFont val="Tahoma"/>
            <family val="2"/>
          </rPr>
          <t xml:space="preserve"> du propulseur (hors ergot).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 xml:space="preserve">top </t>
        </r>
        <r>
          <rPr>
            <i/>
            <sz val="8"/>
            <color indexed="8"/>
            <rFont val="Tahoma"/>
            <family val="2"/>
          </rPr>
          <t>of the motor.</t>
        </r>
      </text>
    </comment>
    <comment ref="B13" authorId="0" shapeId="0" xr:uid="{4FA49E7D-56BC-9E43-806C-1BF8906AB4D4}">
      <text>
        <r>
          <rPr>
            <sz val="8"/>
            <color indexed="8"/>
            <rFont val="Tahoma"/>
            <family val="2"/>
          </rPr>
          <t xml:space="preserve">Longueur totale du fuselage avec l'ogive,
hors propu hors antenne hors ailerons.
</t>
        </r>
        <r>
          <rPr>
            <i/>
            <sz val="8"/>
            <color indexed="8"/>
            <rFont val="Tahoma"/>
            <family val="2"/>
          </rPr>
          <t>Total length of the body including nose cone.</t>
        </r>
      </text>
    </comment>
    <comment ref="L13" authorId="1" shapeId="0" xr:uid="{5F8F3942-F445-174F-8439-91838071B84C}">
      <text>
        <r>
          <rPr>
            <sz val="8"/>
            <color rgb="FF000000"/>
            <rFont val="Tahoma"/>
            <family val="2"/>
          </rPr>
          <t xml:space="preserve">Centre de Masse du propulseur par rapport au haut du propulseur.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Motor Center of Mass, mesured from top of motor.</t>
        </r>
      </text>
    </comment>
    <comment ref="B14" authorId="0" shapeId="0" xr:uid="{E33CA8B8-F7AC-FA44-ACFD-A3B88E56CBAD}">
      <text>
        <r>
          <rPr>
            <sz val="8"/>
            <color indexed="8"/>
            <rFont val="Tahoma"/>
            <family val="2"/>
          </rPr>
          <t xml:space="preserve">Diamètre de référence, utilisé pour calculer : Cnα, Finesse, Marge Statique.
Par défaut D_réf = D_ogive ; on peux écraser avec le diamètre "principal".
</t>
        </r>
        <r>
          <rPr>
            <i/>
            <sz val="8"/>
            <color indexed="8"/>
            <rFont val="Tahoma"/>
            <family val="2"/>
          </rPr>
          <t>Reference Diameter, used to compute: Cnα, Finesse, Static Margin.
By default D_ref = D_ogive ; one can overwrtie with the "main" diameter.</t>
        </r>
      </text>
    </comment>
    <comment ref="S14" authorId="0" shapeId="0" xr:uid="{9771AE04-BCAA-1843-84E4-3E93B936876B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L15" authorId="1" shapeId="0" xr:uid="{77FB2265-16FD-E24C-8FB2-555066695152}">
      <text>
        <r>
          <rPr>
            <sz val="8"/>
            <color rgb="FF000000"/>
            <rFont val="Tahoma"/>
            <family val="2"/>
          </rPr>
          <t xml:space="preserve">Les positions des </t>
        </r>
        <r>
          <rPr>
            <sz val="8"/>
            <color rgb="FF0000FF"/>
            <rFont val="Tahoma"/>
            <family val="2"/>
          </rPr>
          <t>Centres de Masse</t>
        </r>
        <r>
          <rPr>
            <sz val="8"/>
            <color rgb="FF000000"/>
            <rFont val="Tahoma"/>
            <family val="2"/>
          </rPr>
          <t xml:space="preserve"> de la fusée avec propulseur plein et vide
</t>
        </r>
        <r>
          <rPr>
            <sz val="8"/>
            <color rgb="FF000000"/>
            <rFont val="Tahoma"/>
            <family val="2"/>
          </rPr>
          <t xml:space="preserve">sont représentées sur le schéma de la fusée par un </t>
        </r>
        <r>
          <rPr>
            <sz val="8"/>
            <color rgb="FF0000FF"/>
            <rFont val="Tahoma"/>
            <family val="2"/>
          </rPr>
          <t>segment vertical bleu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Rocket Center of Mass are shown whith a </t>
        </r>
        <r>
          <rPr>
            <i/>
            <sz val="8"/>
            <color rgb="FF0000FF"/>
            <rFont val="Tahoma"/>
            <family val="2"/>
          </rPr>
          <t>blue segment</t>
        </r>
        <r>
          <rPr>
            <i/>
            <sz val="8"/>
            <color rgb="FF000000"/>
            <rFont val="Tahoma"/>
            <family val="2"/>
          </rPr>
          <t xml:space="preserve"> in Rocket schematic.</t>
        </r>
      </text>
    </comment>
    <comment ref="S17" authorId="0" shapeId="0" xr:uid="{A3B3DE31-4F01-D643-9CA1-CB4088A49390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supérieur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upper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18" authorId="0" shapeId="0" xr:uid="{0F920BCD-C82D-954A-94F1-2361D22729B0}">
      <text>
        <r>
          <rPr>
            <sz val="8"/>
            <color indexed="8"/>
            <rFont val="Tahoma"/>
            <family val="2"/>
          </rPr>
          <t xml:space="preserve">Distance entre la pointe de l'ogive et le </t>
        </r>
        <r>
          <rPr>
            <b/>
            <sz val="8"/>
            <color indexed="8"/>
            <rFont val="Tahoma"/>
            <family val="2"/>
          </rPr>
          <t>bas</t>
        </r>
        <r>
          <rPr>
            <sz val="8"/>
            <color indexed="8"/>
            <rFont val="Tahoma"/>
            <family val="2"/>
          </rPr>
          <t xml:space="preserve"> du propulseur (hors tuyère).
</t>
        </r>
        <r>
          <rPr>
            <i/>
            <sz val="8"/>
            <color indexed="8"/>
            <rFont val="Tahoma"/>
            <family val="2"/>
          </rPr>
          <t xml:space="preserve">Distance between the tip of the nose cone and the </t>
        </r>
        <r>
          <rPr>
            <b/>
            <i/>
            <sz val="8"/>
            <color indexed="8"/>
            <rFont val="Tahoma"/>
            <family val="2"/>
          </rPr>
          <t>bottom</t>
        </r>
        <r>
          <rPr>
            <i/>
            <sz val="8"/>
            <color indexed="8"/>
            <rFont val="Tahoma"/>
            <family val="2"/>
          </rPr>
          <t xml:space="preserve"> of the motor.</t>
        </r>
      </text>
    </comment>
    <comment ref="S18" authorId="1" shapeId="0" xr:uid="{5F2A6216-87B8-0542-B5F8-A4032ADCA197}">
      <text>
        <r>
          <rPr>
            <sz val="8"/>
            <color rgb="FF000000"/>
            <rFont val="Tahoma"/>
            <family val="2"/>
          </rPr>
          <t>Longueur de l'</t>
        </r>
        <r>
          <rPr>
            <b/>
            <sz val="8"/>
            <color rgb="FF000000"/>
            <rFont val="Tahoma"/>
            <family val="2"/>
          </rPr>
          <t>e</t>
        </r>
        <r>
          <rPr>
            <b/>
            <u/>
            <sz val="8"/>
            <color rgb="FF000000"/>
            <rFont val="Tahoma"/>
            <family val="2"/>
          </rPr>
          <t>m</t>
        </r>
        <r>
          <rPr>
            <b/>
            <sz val="8"/>
            <color rgb="FF000000"/>
            <rFont val="Tahoma"/>
            <family val="2"/>
          </rPr>
          <t>planture</t>
        </r>
        <r>
          <rPr>
            <sz val="8"/>
            <color rgb="FF000000"/>
            <rFont val="Tahoma"/>
            <family val="2"/>
          </rPr>
          <t xml:space="preserve"> d'un aileron.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Root edge length of one fin.</t>
        </r>
      </text>
    </comment>
    <comment ref="S19" authorId="0" shapeId="0" xr:uid="{8941FE23-B4BF-C949-9C68-31E6A55C4E9B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23" authorId="0" shapeId="0" xr:uid="{2D96FE34-E224-E445-81B5-AD90567BAB2C}">
      <text>
        <r>
          <rPr>
            <sz val="8"/>
            <color indexed="8"/>
            <rFont val="Tahoma"/>
            <family val="2"/>
          </rPr>
          <t xml:space="preserve">Diamètre à la base de l'ogive.
</t>
        </r>
        <r>
          <rPr>
            <i/>
            <sz val="8"/>
            <color indexed="8"/>
            <rFont val="Tahoma"/>
            <family val="2"/>
          </rPr>
          <t>Diameter at the basement of the nose cone.</t>
        </r>
      </text>
    </comment>
    <comment ref="E25" authorId="1" shapeId="0" xr:uid="{25D7A4C6-52B4-4442-9436-BD0007416A30}">
      <text>
        <r>
          <rPr>
            <sz val="8"/>
            <color rgb="FF000000"/>
            <rFont val="Tahoma"/>
            <family val="2"/>
          </rPr>
          <t xml:space="preserve">Les parties masquées des ailerons du bas sont représentées 
</t>
        </r>
        <r>
          <rPr>
            <sz val="8"/>
            <color rgb="FF000000"/>
            <rFont val="Tahoma"/>
            <family val="2"/>
          </rPr>
          <t xml:space="preserve">sur le schéma de la fusée par des </t>
        </r>
        <r>
          <rPr>
            <sz val="8"/>
            <color rgb="FFFF0000"/>
            <rFont val="Tahoma"/>
            <family val="2"/>
          </rPr>
          <t>zones en rouge</t>
        </r>
        <r>
          <rPr>
            <sz val="8"/>
            <color rgb="FF000000"/>
            <rFont val="Tahoma"/>
            <family val="2"/>
          </rPr>
          <t xml:space="preserve">.
</t>
        </r>
        <r>
          <rPr>
            <sz val="8"/>
            <color rgb="FF000000"/>
            <rFont val="Tahoma"/>
            <family val="2"/>
          </rPr>
          <t xml:space="preserve">Ce sont les parties situées juste en dessous des ailerons du haut.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fin-fin interaction zone is located just below the upper fins,
</t>
        </r>
        <r>
          <rPr>
            <i/>
            <sz val="8"/>
            <color rgb="FF000000"/>
            <rFont val="Tahoma"/>
            <family val="2"/>
          </rPr>
          <t xml:space="preserve">shown in </t>
        </r>
        <r>
          <rPr>
            <i/>
            <sz val="8"/>
            <color rgb="FFFF0000"/>
            <rFont val="Tahoma"/>
            <family val="2"/>
          </rPr>
          <t>red</t>
        </r>
        <r>
          <rPr>
            <i/>
            <sz val="8"/>
            <color rgb="FF000000"/>
            <rFont val="Tahoma"/>
            <family val="2"/>
          </rPr>
          <t xml:space="preserve"> in the Rocket schematic.</t>
        </r>
      </text>
    </comment>
    <comment ref="B27" authorId="1" shapeId="0" xr:uid="{7A7DBE3F-C2FD-834A-8083-DB54344A9435}">
      <text>
        <r>
          <rPr>
            <sz val="8"/>
            <color indexed="8"/>
            <rFont val="Tahoma"/>
            <family val="2"/>
          </rPr>
          <t>Longueur de l'</t>
        </r>
        <r>
          <rPr>
            <b/>
            <sz val="8"/>
            <color indexed="8"/>
            <rFont val="Tahoma"/>
            <family val="2"/>
          </rPr>
          <t>e</t>
        </r>
        <r>
          <rPr>
            <b/>
            <u/>
            <sz val="8"/>
            <color indexed="8"/>
            <rFont val="Tahoma"/>
            <family val="2"/>
          </rPr>
          <t>m</t>
        </r>
        <r>
          <rPr>
            <b/>
            <sz val="8"/>
            <color indexed="8"/>
            <rFont val="Tahoma"/>
            <family val="2"/>
          </rPr>
          <t>planture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Root edge length of one fin.</t>
        </r>
      </text>
    </comment>
    <comment ref="F27" authorId="0" shapeId="0" xr:uid="{96020000-14E1-FC4A-90AC-E9CB315AF809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Finesse</t>
        </r>
        <r>
          <rPr>
            <sz val="8"/>
            <color rgb="FF000000"/>
            <rFont val="Tahoma"/>
            <family val="2"/>
          </rPr>
          <t xml:space="preserve"> représente l'allongement de la fusée, rapport Longueur/Diamètre.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Finesse represents the relative length of the rocket. Finesse = L/D</t>
        </r>
      </text>
    </comment>
    <comment ref="B28" authorId="1" shapeId="0" xr:uid="{40659EAD-CC7E-5F49-830F-D98AC90E82BB}">
      <text>
        <r>
          <rPr>
            <sz val="8"/>
            <color indexed="8"/>
            <rFont val="Tahoma"/>
            <family val="2"/>
          </rPr>
          <t xml:space="preserve">Longueur du </t>
        </r>
        <r>
          <rPr>
            <b/>
            <sz val="8"/>
            <color indexed="8"/>
            <rFont val="Tahoma"/>
            <family val="2"/>
          </rPr>
          <t>saumo</t>
        </r>
        <r>
          <rPr>
            <b/>
            <u/>
            <sz val="8"/>
            <color indexed="8"/>
            <rFont val="Tahoma"/>
            <family val="2"/>
          </rPr>
          <t>n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Tip edge length of one fin.</t>
        </r>
      </text>
    </comment>
    <comment ref="F28" authorId="0" shapeId="0" xr:uid="{D8B8A397-00D3-5C49-A28E-C9173F1C4ADF}">
      <text>
        <r>
          <rPr>
            <sz val="8"/>
            <color rgb="FF000000"/>
            <rFont val="Tahoma"/>
            <family val="2"/>
          </rPr>
          <t xml:space="preserve">Le gradient de </t>
        </r>
        <r>
          <rPr>
            <b/>
            <sz val="8"/>
            <color rgb="FF800000"/>
            <rFont val="Tahoma"/>
            <family val="2"/>
          </rPr>
          <t>Portance</t>
        </r>
        <r>
          <rPr>
            <sz val="8"/>
            <color rgb="FF000000"/>
            <rFont val="Tahoma"/>
            <family val="2"/>
          </rPr>
          <t xml:space="preserve"> Cnα indique l'efficacité des ailerons.
</t>
        </r>
        <r>
          <rPr>
            <sz val="8"/>
            <color rgb="FF000000"/>
            <rFont val="Tahoma"/>
            <family val="2"/>
          </rPr>
          <t xml:space="preserve">Pour l'augmenter, il faut augmenter la taille des ailerons, et inversement.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800000"/>
            <rFont val="Tahoma"/>
            <family val="2"/>
          </rPr>
          <t>Lift</t>
        </r>
        <r>
          <rPr>
            <i/>
            <sz val="8"/>
            <color rgb="FF000000"/>
            <rFont val="Tahoma"/>
            <family val="2"/>
          </rPr>
          <t xml:space="preserve"> gradient, Cnα, represents the fins efficiency. 
</t>
        </r>
        <r>
          <rPr>
            <i/>
            <sz val="8"/>
            <color rgb="FF000000"/>
            <rFont val="Tahoma"/>
            <family val="2"/>
          </rPr>
          <t>To increase it, one must increase the size of the fins, and conversely.</t>
        </r>
      </text>
    </comment>
    <comment ref="B29" authorId="1" shapeId="0" xr:uid="{07155E5E-E112-FE41-A781-560BEF48D273}">
      <text>
        <r>
          <rPr>
            <b/>
            <sz val="8"/>
            <color indexed="8"/>
            <rFont val="Tahoma"/>
            <family val="2"/>
          </rPr>
          <t>Flèche</t>
        </r>
        <r>
          <rPr>
            <sz val="8"/>
            <color indexed="8"/>
            <rFont val="Tahoma"/>
            <family val="2"/>
          </rPr>
          <t xml:space="preserve"> du bord d'attaque (négatif si besoin).
</t>
        </r>
        <r>
          <rPr>
            <i/>
            <sz val="8"/>
            <color indexed="8"/>
            <rFont val="Tahoma"/>
            <family val="2"/>
          </rPr>
          <t>Offset of the Leading edge.</t>
        </r>
      </text>
    </comment>
    <comment ref="F29" authorId="0" shapeId="0" xr:uid="{2AA6E193-FECD-C543-9961-A945D610E218}">
      <text>
        <r>
          <rPr>
            <sz val="8"/>
            <color rgb="FF000000"/>
            <rFont val="Tahoma"/>
            <family val="2"/>
          </rPr>
          <t xml:space="preserve">La </t>
        </r>
        <r>
          <rPr>
            <b/>
            <sz val="8"/>
            <color rgb="FF000000"/>
            <rFont val="Tahoma"/>
            <family val="2"/>
          </rPr>
          <t>Marge Statique</t>
        </r>
        <r>
          <rPr>
            <sz val="8"/>
            <color rgb="FF000000"/>
            <rFont val="Tahoma"/>
            <family val="2"/>
          </rPr>
          <t xml:space="preserve">, MS,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nombre de Diamètre de Référence, pour une fusée avec propulseur plein puis vide.
</t>
        </r>
        <r>
          <rPr>
            <sz val="8"/>
            <color rgb="FF000000"/>
            <rFont val="Tahoma"/>
            <family val="2"/>
          </rPr>
          <t xml:space="preserve">Pour augmenter la MS, il faut soit :
</t>
        </r>
        <r>
          <rPr>
            <sz val="8"/>
            <color rgb="FF000000"/>
            <rFont val="Tahoma"/>
            <family val="2"/>
          </rPr>
          <t xml:space="preserve">- abaisser le Centre de Portance (position des ailerons)
</t>
        </r>
        <r>
          <rPr>
            <sz val="8"/>
            <color rgb="FF000000"/>
            <rFont val="Tahoma"/>
            <family val="2"/>
          </rPr>
          <t xml:space="preserve">- rehausser le Centre de Masse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Static Margin, MS,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 xml:space="preserve">measured in number of reference diameter, for a rocket with loaded motor, then empty motor.
</t>
        </r>
        <r>
          <rPr>
            <i/>
            <sz val="8"/>
            <color rgb="FF000000"/>
            <rFont val="Tahoma"/>
            <family val="2"/>
          </rPr>
          <t xml:space="preserve">In order to increase MS, one must either:
</t>
        </r>
        <r>
          <rPr>
            <i/>
            <sz val="8"/>
            <color rgb="FF000000"/>
            <rFont val="Tahoma"/>
            <family val="2"/>
          </rPr>
          <t xml:space="preserve">- lower the Center of Pressure (position of fins)
</t>
        </r>
        <r>
          <rPr>
            <i/>
            <sz val="8"/>
            <color rgb="FF000000"/>
            <rFont val="Tahoma"/>
            <family val="2"/>
          </rPr>
          <t>- Move up the Center of Mass</t>
        </r>
      </text>
    </comment>
    <comment ref="B30" authorId="1" shapeId="0" xr:uid="{690D3A76-7707-E745-86AD-9ABB7229996E}">
      <text>
        <r>
          <rPr>
            <b/>
            <u/>
            <sz val="8"/>
            <color indexed="8"/>
            <rFont val="Tahoma"/>
            <family val="2"/>
          </rPr>
          <t>E</t>
        </r>
        <r>
          <rPr>
            <b/>
            <sz val="8"/>
            <color indexed="8"/>
            <rFont val="Tahoma"/>
            <family val="2"/>
          </rPr>
          <t>nvergure</t>
        </r>
        <r>
          <rPr>
            <sz val="8"/>
            <color indexed="8"/>
            <rFont val="Tahoma"/>
            <family val="2"/>
          </rPr>
          <t xml:space="preserve"> d'un aileron.
</t>
        </r>
        <r>
          <rPr>
            <i/>
            <sz val="8"/>
            <color indexed="8"/>
            <rFont val="Tahoma"/>
            <family val="2"/>
          </rPr>
          <t>Span of one fin.</t>
        </r>
      </text>
    </comment>
    <comment ref="F30" authorId="0" shapeId="0" xr:uid="{DB3E3AE2-0048-2A40-940A-E6C95A7BAC76}">
      <text>
        <r>
          <rPr>
            <sz val="8"/>
            <color rgb="FF000000"/>
            <rFont val="Tahoma"/>
            <family val="2"/>
          </rPr>
          <t xml:space="preserve">Le </t>
        </r>
        <r>
          <rPr>
            <b/>
            <sz val="8"/>
            <color rgb="FF000000"/>
            <rFont val="Tahoma"/>
            <family val="2"/>
          </rPr>
          <t>produit</t>
        </r>
        <r>
          <rPr>
            <sz val="8"/>
            <color rgb="FF000000"/>
            <rFont val="Tahoma"/>
            <family val="2"/>
          </rPr>
          <t xml:space="preserve"> MS*Cnα représente le </t>
        </r>
        <r>
          <rPr>
            <b/>
            <sz val="8"/>
            <color rgb="FF000000"/>
            <rFont val="Tahoma"/>
            <family val="2"/>
          </rPr>
          <t>couple</t>
        </r>
        <r>
          <rPr>
            <sz val="8"/>
            <color rgb="FF000000"/>
            <rFont val="Tahoma"/>
            <family val="2"/>
          </rPr>
          <t xml:space="preserve"> de rappel de la Portance.
</t>
        </r>
        <r>
          <rPr>
            <sz val="8"/>
            <color rgb="FF000000"/>
            <rFont val="Tahoma"/>
            <family val="2"/>
          </rPr>
          <t xml:space="preserve">Pour augmenter le produit, il faut augmenter la MS et/ou le Cnα, et inversement.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The product MS*Cnα represents the lift torque.
</t>
        </r>
        <r>
          <rPr>
            <i/>
            <sz val="8"/>
            <color rgb="FF000000"/>
            <rFont val="Tahoma"/>
            <family val="2"/>
          </rPr>
          <t>To increase it, one must increase the Static Margin and/or the Cnα, and conversely.</t>
        </r>
      </text>
    </comment>
    <comment ref="F31" authorId="0" shapeId="0" xr:uid="{2060A76E-40C6-4B44-BD75-3384A5CAABE3}">
      <text>
        <r>
          <rPr>
            <sz val="8"/>
            <color indexed="8"/>
            <rFont val="Tahoma"/>
            <family val="2"/>
          </rPr>
          <t xml:space="preserve">Le Xcp est la </t>
        </r>
        <r>
          <rPr>
            <b/>
            <sz val="8"/>
            <color indexed="16"/>
            <rFont val="Tahoma"/>
            <family val="2"/>
          </rPr>
          <t>position du Centre de Poussée Aérodynamique</t>
        </r>
        <r>
          <rPr>
            <sz val="8"/>
            <color indexed="8"/>
            <rFont val="Tahoma"/>
            <family val="2"/>
          </rPr>
          <t xml:space="preserve"> (CPA), 
aussi appelé Centre de Pression (CP), Centre Latéral de Poussée (CLP), 
ou Foyer, exprimée par rapport à la pointe de l'ogive.
</t>
        </r>
        <r>
          <rPr>
            <i/>
            <sz val="8"/>
            <color indexed="8"/>
            <rFont val="Tahoma"/>
            <family val="2"/>
          </rPr>
          <t>Xcp is the location of the Aerodynamics Center of Pressure, 
measured from the tip of the nose cone.</t>
        </r>
      </text>
    </comment>
    <comment ref="F32" authorId="2" shapeId="0" xr:uid="{A13EDA9E-DFC5-6342-82F7-D970832138FC}">
      <text>
        <r>
          <rPr>
            <sz val="8"/>
            <color rgb="FF000000"/>
            <rFont val="Tahoma"/>
            <family val="2"/>
          </rPr>
          <t xml:space="preserve">Cette Marge Statique est la distance entre le Centre de Masse et le Centre de Pression, 
</t>
        </r>
        <r>
          <rPr>
            <sz val="8"/>
            <color rgb="FF000000"/>
            <rFont val="Tahoma"/>
            <family val="2"/>
          </rPr>
          <t xml:space="preserve">exprimée en </t>
        </r>
        <r>
          <rPr>
            <b/>
            <sz val="8"/>
            <color rgb="FF000000"/>
            <rFont val="Tahoma"/>
            <family val="2"/>
          </rPr>
          <t>% de la Longueur</t>
        </r>
        <r>
          <rPr>
            <sz val="8"/>
            <color rgb="FF000000"/>
            <rFont val="Tahoma"/>
            <family val="2"/>
          </rPr>
          <t xml:space="preserve"> de la fusée, pour une fusée avec propulseur plein puis vide.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This Static Margin is the distance between the Center of Mass and the Center of Pressure, 
</t>
        </r>
        <r>
          <rPr>
            <i/>
            <sz val="8"/>
            <color rgb="FF000000"/>
            <rFont val="Tahoma"/>
            <family val="2"/>
          </rPr>
          <t>measured in % of rocket length, for a rocket with loaded motor, then empty motor.</t>
        </r>
      </text>
    </comment>
    <comment ref="B33" authorId="0" shapeId="0" xr:uid="{1D42BD02-8CA3-D84F-A862-FC9D20D1F4BA}">
      <text>
        <r>
          <rPr>
            <sz val="8"/>
            <color indexed="8"/>
            <rFont val="Tahoma"/>
            <family val="2"/>
          </rPr>
          <t xml:space="preserve">Distance entre la pointe de l'ogive et le point </t>
        </r>
        <r>
          <rPr>
            <b/>
            <sz val="8"/>
            <color indexed="8"/>
            <rFont val="Tahoma"/>
            <family val="2"/>
          </rPr>
          <t>inférieur</t>
        </r>
        <r>
          <rPr>
            <sz val="8"/>
            <color indexed="8"/>
            <rFont val="Tahoma"/>
            <family val="2"/>
          </rPr>
          <t xml:space="preserve"> de l'encastrement des ailerons.
</t>
        </r>
        <r>
          <rPr>
            <i/>
            <sz val="8"/>
            <color indexed="8"/>
            <rFont val="Tahoma"/>
            <family val="2"/>
          </rPr>
          <t xml:space="preserve">Distance between the tip of the nose and the </t>
        </r>
        <r>
          <rPr>
            <b/>
            <i/>
            <sz val="8"/>
            <color indexed="8"/>
            <rFont val="Tahoma"/>
            <family val="2"/>
          </rPr>
          <t>lower</t>
        </r>
        <r>
          <rPr>
            <i/>
            <sz val="8"/>
            <color indexed="8"/>
            <rFont val="Tahoma"/>
            <family val="2"/>
          </rPr>
          <t xml:space="preserve"> point of fins attachment on the rocket.</t>
        </r>
      </text>
    </comment>
    <comment ref="B34" authorId="0" shapeId="0" xr:uid="{A62E82D4-433C-F54F-9A80-65075C3AAD7D}">
      <text>
        <r>
          <rPr>
            <sz val="8"/>
            <color indexed="8"/>
            <rFont val="Tahoma"/>
            <family val="2"/>
          </rPr>
          <t xml:space="preserve">Diamètre du fuselage au niveau des ailerons.
</t>
        </r>
        <r>
          <rPr>
            <i/>
            <sz val="8"/>
            <color indexed="8"/>
            <rFont val="Tahoma"/>
            <family val="2"/>
          </rPr>
          <t>Diameter of the body at the level of the fins.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Léo Côme</author>
    <author>Léo</author>
    <author>Sylvain Besson</author>
    <author>collectif</author>
  </authors>
  <commentList>
    <comment ref="B10" authorId="0" shapeId="0" xr:uid="{15384CFA-AE50-EC45-8956-D4F4E799CB4F}">
      <text>
        <r>
          <rPr>
            <sz val="8"/>
            <color indexed="8"/>
            <rFont val="Tahoma"/>
            <family val="2"/>
          </rPr>
          <t xml:space="preserve">Masse au décollage,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Lift-Off mass, to be changed in Stabilito sheet,
or with the buttons (then recheck stability).</t>
        </r>
      </text>
    </comment>
    <comment ref="B11" authorId="0" shapeId="0" xr:uid="{7793ACB5-563F-C14C-AE40-D36012718F07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4" authorId="1" shapeId="0" xr:uid="{45581668-9BF5-8147-A37D-825CBA28CDD3}">
      <text>
        <r>
          <rPr>
            <sz val="8"/>
            <color indexed="8"/>
            <rFont val="Tahoma"/>
            <family val="2"/>
          </rPr>
          <t xml:space="preserve">La Surface de Référence utilisée pour le calcul de la Traînée est la surface projetée dans l'axe de la fusée. Ce </t>
        </r>
        <r>
          <rPr>
            <b/>
            <sz val="8"/>
            <color indexed="8"/>
            <rFont val="Tahoma"/>
            <family val="2"/>
          </rPr>
          <t>Maître Couple</t>
        </r>
        <r>
          <rPr>
            <sz val="8"/>
            <color indexed="8"/>
            <rFont val="Tahoma"/>
            <family val="2"/>
          </rPr>
          <t xml:space="preserve"> inclut donc l'épaisseur des ailerons.
</t>
        </r>
        <r>
          <rPr>
            <i/>
            <sz val="8"/>
            <color indexed="8"/>
            <rFont val="Tahoma"/>
            <family val="2"/>
          </rPr>
          <t>Reference Surface used to compute the Drag. It includes Fin thickness.</t>
        </r>
      </text>
    </comment>
    <comment ref="B15" authorId="1" shapeId="0" xr:uid="{40FABB24-6C4E-264B-A224-46A34B8EBB76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  <comment ref="B18" authorId="1" shapeId="0" xr:uid="{F6F856DB-B077-E540-8D7B-892EB7794A98}">
      <text>
        <r>
          <rPr>
            <b/>
            <sz val="8"/>
            <color indexed="8"/>
            <rFont val="Tahoma"/>
            <family val="2"/>
          </rPr>
          <t>Longueur de la rampe de lancement.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i/>
            <sz val="8"/>
            <color indexed="8"/>
            <rFont val="Tahoma"/>
            <family val="2"/>
          </rPr>
          <t xml:space="preserve">                                          Length of the launch pad.</t>
        </r>
        <r>
          <rPr>
            <sz val="8"/>
            <color indexed="8"/>
            <rFont val="Tahoma"/>
            <family val="2"/>
          </rPr>
          <t xml:space="preserve">
Valeurs courantes :                  </t>
        </r>
        <r>
          <rPr>
            <i/>
            <sz val="8"/>
            <color indexed="8"/>
            <rFont val="Tahoma"/>
            <family val="2"/>
          </rPr>
          <t>Average values :</t>
        </r>
        <r>
          <rPr>
            <sz val="8"/>
            <color indexed="8"/>
            <rFont val="Tahoma"/>
            <family val="2"/>
          </rPr>
          <t xml:space="preserve">
MicroFusée                  : 1m  :    </t>
        </r>
        <r>
          <rPr>
            <i/>
            <sz val="8"/>
            <color indexed="8"/>
            <rFont val="Tahoma"/>
            <family val="2"/>
          </rPr>
          <t>Micro-rocket</t>
        </r>
        <r>
          <rPr>
            <sz val="8"/>
            <color indexed="8"/>
            <rFont val="Tahoma"/>
            <family val="2"/>
          </rPr>
          <t xml:space="preserve">
MiniFusée                    : 2m5:   </t>
        </r>
        <r>
          <rPr>
            <i/>
            <sz val="8"/>
            <color indexed="8"/>
            <rFont val="Tahoma"/>
            <family val="2"/>
          </rPr>
          <t xml:space="preserve"> Mini-rocket
Rocketry Challenge    </t>
        </r>
        <r>
          <rPr>
            <sz val="8"/>
            <color indexed="8"/>
            <rFont val="Tahoma"/>
            <family val="2"/>
          </rPr>
          <t xml:space="preserve">: 3m
Fusée Expérimentale  : 4m  :   </t>
        </r>
        <r>
          <rPr>
            <i/>
            <sz val="8"/>
            <color indexed="8"/>
            <rFont val="Tahoma"/>
            <family val="2"/>
          </rPr>
          <t>Experimental Rocket</t>
        </r>
      </text>
    </comment>
    <comment ref="B19" authorId="1" shapeId="0" xr:uid="{410EB2A1-05D7-0C44-A8E3-5AD1648CAEAD}">
      <text>
        <r>
          <rPr>
            <sz val="8"/>
            <color indexed="8"/>
            <rFont val="Tahoma"/>
            <family val="2"/>
          </rPr>
          <t xml:space="preserve">Elévation de la rampe, angle par rapport à l'horizontale, "site" de la rampe, par défaut cet angle est à 80°.
</t>
        </r>
        <r>
          <rPr>
            <i/>
            <sz val="8"/>
            <color indexed="8"/>
            <rFont val="Tahoma"/>
            <family val="2"/>
          </rPr>
          <t>Angle of the lauch pad versus horizontal.</t>
        </r>
      </text>
    </comment>
    <comment ref="B20" authorId="1" shapeId="0" xr:uid="{CACCC701-E118-1344-8D11-6F899D4B1E33}">
      <text>
        <r>
          <rPr>
            <sz val="8"/>
            <color indexed="8"/>
            <rFont val="Tahoma"/>
            <family val="2"/>
          </rPr>
          <t xml:space="preserve">L'Altitude de la rampe est utilisée pour calculer la densité de l'air.
</t>
        </r>
        <r>
          <rPr>
            <i/>
            <sz val="8"/>
            <color indexed="8"/>
            <rFont val="Tahoma"/>
            <family val="2"/>
          </rPr>
          <t>Launch Pad Altitude is used to compute the air density.</t>
        </r>
      </text>
    </comment>
    <comment ref="D23" authorId="2" shapeId="0" xr:uid="{B18CBBCB-629E-3D4F-81A4-B315A4BC536B}">
      <text>
        <r>
          <rPr>
            <b/>
            <sz val="8"/>
            <color indexed="8"/>
            <rFont val="Tahoma"/>
            <family val="2"/>
          </rPr>
          <t>Objet largué</t>
        </r>
        <r>
          <rPr>
            <sz val="8"/>
            <color indexed="8"/>
            <rFont val="Tahoma"/>
            <family val="2"/>
          </rPr>
          <t xml:space="preserve"> (CanSat, quasi-satellite, partie contenant l'œuf...)
</t>
        </r>
        <r>
          <rPr>
            <i/>
            <sz val="8"/>
            <color indexed="8"/>
            <rFont val="Tahoma"/>
            <family val="2"/>
          </rPr>
          <t>Separated object (CanSat, quasi-satellite, payload/egg...)</t>
        </r>
      </text>
    </comment>
    <comment ref="K23" authorId="1" shapeId="0" xr:uid="{5D3388C4-0B4A-304D-916C-2A9A38115A36}">
      <text>
        <r>
          <rPr>
            <sz val="8"/>
            <color rgb="FF000000"/>
            <rFont val="Tahoma"/>
            <family val="2"/>
          </rPr>
          <t xml:space="preserve">La Vitesse en Sortie de Rampe doit être supérieure à 18m/s (MiniFusée) ou 20m/s (Fusée Exp.).
</t>
        </r>
        <r>
          <rPr>
            <sz val="8"/>
            <color rgb="FF000000"/>
            <rFont val="Tahoma"/>
            <family val="2"/>
          </rPr>
          <t xml:space="preserve">Alléger la fusée ou choisir un propu plus puissant.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 xml:space="preserve">Speed at Launch Pad Exit must by higher than 18m/s (mini-rocket) or 20m/s (experimental rocket).
</t>
        </r>
        <r>
          <rPr>
            <i/>
            <sz val="8"/>
            <color rgb="FF000000"/>
            <rFont val="Tahoma"/>
            <family val="2"/>
          </rPr>
          <t>Lighten the rocket or choose a bigger motor.</t>
        </r>
      </text>
    </comment>
    <comment ref="C24" authorId="2" shapeId="0" xr:uid="{83A39B17-3C6C-F54C-B142-67AFDE99C6BD}">
      <text>
        <r>
          <rPr>
            <sz val="8"/>
            <color rgb="FF000000"/>
            <rFont val="Tahoma"/>
            <family val="2"/>
          </rPr>
          <t xml:space="preserve">Masse de la fusée (sans satellite) sous parachute.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Mass of the rocket (w/o sat) when it fall with a parachute.</t>
        </r>
      </text>
    </comment>
    <comment ref="M27" authorId="3" shapeId="0" xr:uid="{F98FD256-335A-884D-892A-C0FC5DB698E0}">
      <text>
        <r>
          <rPr>
            <sz val="8"/>
            <color rgb="FF000000"/>
            <rFont val="Tahoma"/>
            <family val="2"/>
          </rPr>
          <t xml:space="preserve">Efforts sur les fixations du parachute lors de sont ouverture.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Stress on the parachute's bindings when it opened.</t>
        </r>
      </text>
    </comment>
    <comment ref="B28" authorId="1" shapeId="0" xr:uid="{DA1E166D-9ACD-E643-BBB1-901B2DECE888}">
      <text>
        <r>
          <rPr>
            <sz val="8"/>
            <color indexed="8"/>
            <rFont val="Tahoma"/>
            <family val="2"/>
          </rPr>
          <t xml:space="preserve">Le Coefficient de Traînée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(ou Cd) d'un parachute est généralement compris entre 0.7 et 1.4 (1 par défaut).
</t>
        </r>
        <r>
          <rPr>
            <i/>
            <sz val="8"/>
            <color indexed="8"/>
            <rFont val="Tahoma"/>
            <family val="2"/>
          </rPr>
          <t xml:space="preserve">Parachute Drag Coefficient </t>
        </r>
        <r>
          <rPr>
            <b/>
            <i/>
            <sz val="8"/>
            <color indexed="8"/>
            <rFont val="Tahoma"/>
            <family val="2"/>
          </rPr>
          <t>Cx</t>
        </r>
        <r>
          <rPr>
            <i/>
            <sz val="8"/>
            <color indexed="8"/>
            <rFont val="Tahoma"/>
            <family val="2"/>
          </rPr>
          <t xml:space="preserve"> (or Cd) should be between 0.7 and 1.4, with a default value of 1.</t>
        </r>
      </text>
    </comment>
    <comment ref="M28" authorId="3" shapeId="0" xr:uid="{958539F3-7D38-6E4B-BF35-69D4D724398E}">
      <text>
        <r>
          <rPr>
            <sz val="8"/>
            <color rgb="FF000000"/>
            <rFont val="Tahoma"/>
            <family val="2"/>
          </rPr>
          <t>Energie libérée lors de l'impact balistique.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Balistic impact energy</t>
        </r>
      </text>
    </comment>
    <comment ref="B30" authorId="4" shapeId="0" xr:uid="{14989AF1-08E3-8F4C-A76E-1CA69A50E176}">
      <text>
        <r>
          <rPr>
            <sz val="8"/>
            <color rgb="FF000000"/>
            <rFont val="Tahoma"/>
            <family val="2"/>
          </rPr>
          <t xml:space="preserve">La Vitesse de descente sous parachute doit être comprise entre 5 &amp; 15m/s.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i/>
            <sz val="8"/>
            <color rgb="FF000000"/>
            <rFont val="Tahoma"/>
            <family val="2"/>
          </rPr>
          <t>Fall Velocity with parachute must be between 5 &amp; 15 m/s.</t>
        </r>
      </text>
    </comment>
    <comment ref="B33" authorId="0" shapeId="0" xr:uid="{99C5B9B1-DACD-4949-8E82-0494050894FB}">
      <text>
        <r>
          <rPr>
            <sz val="8"/>
            <color indexed="8"/>
            <rFont val="Tahoma"/>
            <family val="2"/>
          </rPr>
          <t xml:space="preserve">Déviation due au vent lors de la descente sous parachute.
</t>
        </r>
        <r>
          <rPr>
            <i/>
            <sz val="8"/>
            <color indexed="8"/>
            <rFont val="Tahoma"/>
            <family val="2"/>
          </rPr>
          <t>Deviation due to wind during the fall over parachute.</t>
        </r>
      </text>
    </comment>
    <comment ref="F40" authorId="1" shapeId="0" xr:uid="{4C5983D3-8ABD-124E-915B-4E877960845F}">
      <text>
        <r>
          <rPr>
            <sz val="8"/>
            <color indexed="8"/>
            <rFont val="Tahoma"/>
            <family val="2"/>
          </rPr>
          <t xml:space="preserve">Les Conditions Initiales permettent de simuler le 2e boost des fusée bi-étage ou des fusées larguant une masse (CanSat, bi-inerte). Laisser à 0 dans les autres cas.
</t>
        </r>
        <r>
          <rPr>
            <i/>
            <sz val="8"/>
            <color indexed="8"/>
            <rFont val="Tahoma"/>
            <family val="2"/>
          </rPr>
          <t>Initial Conditions can be used to simulate the 2nd boost of 2-stages rockets, or rocket releasing mass (Quasi-Satellites). Set them to 0 otherwise.</t>
        </r>
      </text>
    </comment>
    <comment ref="I40" authorId="1" shapeId="0" xr:uid="{01589978-EDDE-3741-BF57-74E8E94DE07A}">
      <text>
        <r>
          <rPr>
            <sz val="8"/>
            <color indexed="8"/>
            <rFont val="Tahoma"/>
            <family val="2"/>
          </rPr>
          <t xml:space="preserve">Altitude par rapport à la rampe, par rapport au sol.
</t>
        </r>
        <r>
          <rPr>
            <i/>
            <sz val="8"/>
            <color indexed="8"/>
            <rFont val="Tahoma"/>
            <family val="2"/>
          </rPr>
          <t>Altitude with respect to the earth surface.</t>
        </r>
      </text>
    </comment>
    <comment ref="K40" authorId="1" shapeId="0" xr:uid="{7D4F787C-8E9D-AD4B-B98C-DFC41DE06DE4}">
      <text>
        <r>
          <rPr>
            <sz val="8"/>
            <color indexed="8"/>
            <rFont val="Tahoma"/>
            <family val="2"/>
          </rPr>
          <t xml:space="preserve">La vitesse initiale doit être non-nulle dans le cas d'un 2e boost (allumage hors de la rampe, Portée et Altitude non-nulles).
</t>
        </r>
        <r>
          <rPr>
            <i/>
            <sz val="8"/>
            <color indexed="8"/>
            <rFont val="Tahoma"/>
            <family val="2"/>
          </rPr>
          <t>Initial Velocity must be non-zero in case of 2nd boost (ignition without launch pad, non-zero Range and Altitude).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M363040</author>
    <author>Léo Côme</author>
  </authors>
  <commentList>
    <comment ref="B10" authorId="0" shapeId="0" xr:uid="{DECAEDCA-6867-B442-8EF7-18D10A7D4512}">
      <text>
        <r>
          <rPr>
            <sz val="8"/>
            <color indexed="8"/>
            <rFont val="Tahoma"/>
            <family val="2"/>
          </rPr>
          <t xml:space="preserve">Masse sans propu, à changer dans la feuille Stabilito,
ou à l'aide des boutons (revérifiez alors la stabilité).
</t>
        </r>
        <r>
          <rPr>
            <i/>
            <sz val="8"/>
            <color indexed="8"/>
            <rFont val="Tahoma"/>
            <family val="2"/>
          </rPr>
          <t>Rocket mass without motor, to be changed in Stabilito sheet,
or with the buttons (then recheck stability).</t>
        </r>
      </text>
    </comment>
    <comment ref="B11" authorId="0" shapeId="0" xr:uid="{6DE15895-CF3A-B04B-9924-780E2F0470E3}">
      <text>
        <r>
          <rPr>
            <sz val="8"/>
            <color indexed="8"/>
            <rFont val="Tahoma"/>
            <family val="2"/>
          </rPr>
          <t>Masse totale, à changer dans la feuille Stabilito,
ou à l'aide des boutons (revérifiez alors la stabilité).
Rocket total mass, to be changed in Stabilito sheet,
or with the buttons (then recheck stability).</t>
        </r>
      </text>
    </comment>
    <comment ref="B12" authorId="0" shapeId="0" xr:uid="{FC517C5B-575E-C442-96EF-03A0E0636F81}">
      <text>
        <r>
          <rPr>
            <sz val="8"/>
            <color indexed="8"/>
            <rFont val="Tahoma"/>
            <family val="2"/>
          </rPr>
          <t xml:space="preserve">Le propulseur doit être sélectionné dans l'onglet Stabilito.
</t>
        </r>
        <r>
          <rPr>
            <i/>
            <sz val="8"/>
            <color indexed="8"/>
            <rFont val="Tahoma"/>
            <family val="2"/>
          </rPr>
          <t>Motor must be selected in Stabilito sheet.</t>
        </r>
      </text>
    </comment>
    <comment ref="B15" authorId="1" shapeId="0" xr:uid="{17E33935-8B9F-6541-A3BE-C2438CE92052}">
      <text>
        <r>
          <rPr>
            <sz val="8"/>
            <color indexed="8"/>
            <rFont val="Tahoma"/>
            <family val="2"/>
          </rPr>
          <t xml:space="preserve">Diamètre de référence. D_réf = D_ogive ou le diamètre "principal".
</t>
        </r>
        <r>
          <rPr>
            <i/>
            <sz val="8"/>
            <color indexed="8"/>
            <rFont val="Tahoma"/>
            <family val="2"/>
          </rPr>
          <t>Reference Diameter. D_ref = D_ogive or the "main" diameter.</t>
        </r>
      </text>
    </comment>
    <comment ref="B16" authorId="2" shapeId="0" xr:uid="{E172DD01-C068-EB46-9363-E08B5F91D3F8}">
      <text>
        <r>
          <rPr>
            <sz val="8"/>
            <color indexed="8"/>
            <rFont val="Tahoma"/>
            <family val="2"/>
          </rPr>
          <t xml:space="preserve">Coefficient de Traînée de la fusée. Par défaut, le </t>
        </r>
        <r>
          <rPr>
            <b/>
            <sz val="8"/>
            <color indexed="8"/>
            <rFont val="Tahoma"/>
            <family val="2"/>
          </rPr>
          <t>Cx</t>
        </r>
        <r>
          <rPr>
            <sz val="8"/>
            <color indexed="8"/>
            <rFont val="Tahoma"/>
            <family val="2"/>
          </rPr>
          <t xml:space="preserve"> vaut 0.6. On peut ajouter ou retrancher 0.2 en fonction des aspérités de la fusée, du profilage des ailerons…
</t>
        </r>
        <r>
          <rPr>
            <i/>
            <sz val="8"/>
            <color indexed="8"/>
            <rFont val="Tahoma"/>
            <family val="2"/>
          </rPr>
          <t>Rocket Drag Coefficient is generally between 0.4 and 0.8, with a default value of 0.6.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Léo</author>
  </authors>
  <commentList>
    <comment ref="E52" authorId="0" shapeId="0" xr:uid="{F64DC3FF-91A3-DF48-911C-0D7848EFC6BB}">
      <text>
        <r>
          <rPr>
            <sz val="8"/>
            <color indexed="81"/>
            <rFont val="Tahoma"/>
            <family val="2"/>
          </rPr>
          <t xml:space="preserve">Masse volumique de l'air (ρ) à P=1013,25hPa &amp; T=15°C.
Utilisée tel quel pour la descente sous parachute,
utilisée comme référence (z=0) pour le calcul de ρ en fonction de l'altitude dans le calcul de la trajectoire pas à pas.
Idéalement, valeur à adapter aux conditions atmosphériques au moment du lancement.
</t>
        </r>
        <r>
          <rPr>
            <i/>
            <sz val="8"/>
            <color indexed="81"/>
            <rFont val="Tahoma"/>
            <family val="2"/>
          </rPr>
          <t>Air density (ρ) at P=1013,25hPa &amp; T=15°C.</t>
        </r>
      </text>
    </comment>
  </commentList>
</comments>
</file>

<file path=xl/sharedStrings.xml><?xml version="1.0" encoding="utf-8"?>
<sst xmlns="http://schemas.openxmlformats.org/spreadsheetml/2006/main" count="1674" uniqueCount="556">
  <si>
    <t>TRAJECTO</t>
  </si>
  <si>
    <t>Français</t>
  </si>
  <si>
    <t>t</t>
  </si>
  <si>
    <t>x</t>
  </si>
  <si>
    <t>Club</t>
  </si>
  <si>
    <t>Cx</t>
  </si>
  <si>
    <t>Altitude</t>
  </si>
  <si>
    <t>m/s²</t>
  </si>
  <si>
    <t>kg/m3</t>
  </si>
  <si>
    <t>Surface para</t>
  </si>
  <si>
    <t>Cx parachute</t>
  </si>
  <si>
    <t>Temps</t>
  </si>
  <si>
    <t>Altitude z</t>
  </si>
  <si>
    <t>Accélération</t>
  </si>
  <si>
    <t>-</t>
  </si>
  <si>
    <t>Culmination, Apogée</t>
  </si>
  <si>
    <t>~0</t>
  </si>
  <si>
    <t>Forces</t>
  </si>
  <si>
    <t>Accélération longitudinale</t>
  </si>
  <si>
    <t>pas</t>
  </si>
  <si>
    <t>Beta</t>
  </si>
  <si>
    <t>BetaD</t>
  </si>
  <si>
    <t>Débit</t>
  </si>
  <si>
    <t>Trainée</t>
  </si>
  <si>
    <t>Rho</t>
  </si>
  <si>
    <t>Poussée</t>
  </si>
  <si>
    <t>i_P</t>
  </si>
  <si>
    <t>Poids</t>
  </si>
  <si>
    <t>R_rampe</t>
  </si>
  <si>
    <t>z</t>
  </si>
  <si>
    <t>non-gravit.</t>
  </si>
  <si>
    <t>gravitationnelle</t>
  </si>
  <si>
    <t>Ligne</t>
  </si>
  <si>
    <t>Temps (en s)</t>
  </si>
  <si>
    <t>Poussée (en N)</t>
  </si>
  <si>
    <t>Isard</t>
  </si>
  <si>
    <t>Chamois</t>
  </si>
  <si>
    <t>Pro75-2G</t>
  </si>
  <si>
    <t>espace@planete-sciences.org</t>
  </si>
  <si>
    <t>m</t>
  </si>
  <si>
    <t>http://www.planete-sciences.org/espace/basedoc/</t>
  </si>
  <si>
    <t>Surface Réf.</t>
  </si>
  <si>
    <t>Angle</t>
  </si>
  <si>
    <t>Léo Côme</t>
  </si>
  <si>
    <t>Notes :</t>
  </si>
  <si>
    <t>Barasinga (Pro54-5G)</t>
  </si>
  <si>
    <t>Orignal (Pro75-3G)</t>
  </si>
  <si>
    <t>Aucun (2e ét. inerte)</t>
  </si>
  <si>
    <t>z para</t>
  </si>
  <si>
    <t>z sat</t>
  </si>
  <si>
    <t>xz max</t>
  </si>
  <si>
    <t>t para</t>
  </si>
  <si>
    <t>x para</t>
  </si>
  <si>
    <t>t sat</t>
  </si>
  <si>
    <t>x sat</t>
  </si>
  <si>
    <t>Moteurs Rocketry-Challenge, bug Surface_parachute, Satellite, bug Ooo</t>
  </si>
  <si>
    <t>STABILITO</t>
  </si>
  <si>
    <t>Type</t>
  </si>
  <si>
    <t>XCp</t>
  </si>
  <si>
    <t>MpropuPlein</t>
  </si>
  <si>
    <t>XpropuPlein</t>
  </si>
  <si>
    <t>MpropuVide</t>
  </si>
  <si>
    <t>XpropuVide</t>
  </si>
  <si>
    <t>Longueur</t>
  </si>
  <si>
    <t>Diamètre</t>
  </si>
  <si>
    <t>Min</t>
  </si>
  <si>
    <t>Max</t>
  </si>
  <si>
    <t>Finesse</t>
  </si>
  <si>
    <t>Cnα</t>
  </si>
  <si>
    <t>MS /L</t>
  </si>
  <si>
    <t>English</t>
  </si>
  <si>
    <t>X longi</t>
  </si>
  <si>
    <t>Y latéral</t>
  </si>
  <si>
    <t>- Y latéral</t>
  </si>
  <si>
    <t>Pointe</t>
  </si>
  <si>
    <t>Ogive</t>
  </si>
  <si>
    <t>chmt1 pt1</t>
  </si>
  <si>
    <t>chmt1 pt2</t>
  </si>
  <si>
    <t>chmt2 pt1</t>
  </si>
  <si>
    <t>chmt2 pt2</t>
  </si>
  <si>
    <t>culot</t>
  </si>
  <si>
    <t>aileron pt1</t>
  </si>
  <si>
    <t>aileron pt2</t>
  </si>
  <si>
    <t>aileron pt3</t>
  </si>
  <si>
    <t>aileron pt4</t>
  </si>
  <si>
    <t>Xcg plein</t>
  </si>
  <si>
    <t>Xcg vide</t>
  </si>
  <si>
    <t>Xcp</t>
  </si>
  <si>
    <t>canard pt1</t>
  </si>
  <si>
    <t>canard pt2</t>
  </si>
  <si>
    <t>canard pt3</t>
  </si>
  <si>
    <t>canard pt4</t>
  </si>
  <si>
    <t>masquage pt1</t>
  </si>
  <si>
    <t>masquage pt2</t>
  </si>
  <si>
    <t>masquage pt3</t>
  </si>
  <si>
    <t>masquage pt4</t>
  </si>
  <si>
    <t>cadre</t>
  </si>
  <si>
    <t>propu pt1</t>
  </si>
  <si>
    <t>propu pt2</t>
  </si>
  <si>
    <t>propu pt3</t>
  </si>
  <si>
    <t>propu pt4</t>
  </si>
  <si>
    <t>propu pt5</t>
  </si>
  <si>
    <t>MS (X)</t>
  </si>
  <si>
    <t>Cna (Y)</t>
  </si>
  <si>
    <t>2002-2007</t>
  </si>
  <si>
    <t>Stabilito V1.x</t>
  </si>
  <si>
    <t>Stabilito V2.0</t>
  </si>
  <si>
    <t>Stabilito V2.1</t>
  </si>
  <si>
    <t>Stabilito V2.2</t>
  </si>
  <si>
    <t>Trajecto V1.x</t>
  </si>
  <si>
    <t>Trajecto V2.x</t>
  </si>
  <si>
    <t>Trajecto V2.4</t>
  </si>
  <si>
    <t>Trajecto V2.5</t>
  </si>
  <si>
    <t>OpenOffice Calc</t>
  </si>
  <si>
    <t>µ-propu A8-3</t>
  </si>
  <si>
    <t>µ-propu B4-4</t>
  </si>
  <si>
    <t>µ-propu C6-3</t>
  </si>
  <si>
    <t>ISP</t>
  </si>
  <si>
    <t>I_total</t>
  </si>
  <si>
    <t>I_total_i (en N.s)</t>
  </si>
  <si>
    <t>Micro</t>
  </si>
  <si>
    <t>Fusex</t>
  </si>
  <si>
    <t>Mini</t>
  </si>
  <si>
    <t>0 satellite</t>
  </si>
  <si>
    <t>1 satellite</t>
  </si>
  <si>
    <t>http://creativecommons.org/licenses/by-sa/3.0/</t>
  </si>
  <si>
    <t>VL4</t>
  </si>
  <si>
    <t>Vsortie de rampe (&gt; 18 m/s)</t>
  </si>
  <si>
    <t>10 &lt; finesse &lt; 20</t>
  </si>
  <si>
    <t>15 &lt; Cn &lt; 30</t>
  </si>
  <si>
    <t>30 &lt; Ms x Cn &lt; 100</t>
  </si>
  <si>
    <t>RC1</t>
  </si>
  <si>
    <t>5 &lt; Vc &lt; 15 m/s</t>
  </si>
  <si>
    <t>RC2</t>
  </si>
  <si>
    <t>Temps de retard ralentisseur</t>
  </si>
  <si>
    <t>RC5</t>
  </si>
  <si>
    <t>Portée balistique (m)</t>
  </si>
  <si>
    <t>Temps de vol avec parachute (s)</t>
  </si>
  <si>
    <t>Culmination</t>
  </si>
  <si>
    <t>Accélération max (m/s²)</t>
  </si>
  <si>
    <t>Vmax (m/s)</t>
  </si>
  <si>
    <t>Altitude (m)</t>
  </si>
  <si>
    <t>Temps (s)</t>
  </si>
  <si>
    <t>Vitesse (m/s)</t>
  </si>
  <si>
    <t>Inclinaison</t>
  </si>
  <si>
    <t>Longueur totale</t>
  </si>
  <si>
    <t>Longueur rampe</t>
  </si>
  <si>
    <t>Epaisseur ailerons</t>
  </si>
  <si>
    <t>Nombre ailerons</t>
  </si>
  <si>
    <t>Type d'ogive</t>
  </si>
  <si>
    <t>Longueur ogive "l"</t>
  </si>
  <si>
    <t>Haut du propu "Prop"</t>
  </si>
  <si>
    <t>Diamètre "D"</t>
  </si>
  <si>
    <t>Position ailerons "L"</t>
  </si>
  <si>
    <t>M</t>
  </si>
  <si>
    <t>Microsoft Excel 2003 ou +</t>
  </si>
  <si>
    <t>s</t>
  </si>
  <si>
    <t>m/s</t>
  </si>
  <si>
    <t>°</t>
  </si>
  <si>
    <t>Transition A</t>
  </si>
  <si>
    <t>Transition B</t>
  </si>
  <si>
    <t>Jaune</t>
  </si>
  <si>
    <t>Ma fusée</t>
  </si>
  <si>
    <t>conique</t>
  </si>
  <si>
    <t>ogive</t>
  </si>
  <si>
    <t>parabole</t>
  </si>
  <si>
    <t>Mon club</t>
  </si>
  <si>
    <t>env pt4</t>
  </si>
  <si>
    <t>flèche pt2</t>
  </si>
  <si>
    <t>saumon pt3</t>
  </si>
  <si>
    <t>flèche milieu</t>
  </si>
  <si>
    <t>env milieu</t>
  </si>
  <si>
    <t>saumon milieu</t>
  </si>
  <si>
    <t>empl milieu</t>
  </si>
  <si>
    <t>empl pt4</t>
  </si>
  <si>
    <t>MS milieu</t>
  </si>
  <si>
    <t>MS Xcp</t>
  </si>
  <si>
    <t>1s</t>
  </si>
  <si>
    <t>t/T</t>
  </si>
  <si>
    <t>z/Z</t>
  </si>
  <si>
    <t>vertical</t>
  </si>
  <si>
    <t>horizontal</t>
  </si>
  <si>
    <t>flèches</t>
  </si>
  <si>
    <t>StabTraj</t>
  </si>
  <si>
    <t>StabTraj V3.0</t>
  </si>
  <si>
    <t>Trajecto</t>
  </si>
  <si>
    <t>µ-propu</t>
  </si>
  <si>
    <t>Minif</t>
  </si>
  <si>
    <t xml:space="preserve"> </t>
  </si>
  <si>
    <t>Événements</t>
  </si>
  <si>
    <t>Sous-échantillon 1Hz</t>
  </si>
  <si>
    <t>pos_x</t>
  </si>
  <si>
    <t>pos_z</t>
  </si>
  <si>
    <t>pos_xz</t>
  </si>
  <si>
    <t>vit_x</t>
  </si>
  <si>
    <t>vit_z</t>
  </si>
  <si>
    <t>vit_xz</t>
  </si>
  <si>
    <t>acc_x</t>
  </si>
  <si>
    <t>acc_z</t>
  </si>
  <si>
    <t>acc_xz</t>
  </si>
  <si>
    <t>Donneés au format des fiches de contrôles Fusex :</t>
  </si>
  <si>
    <t>Diamètre max</t>
  </si>
  <si>
    <t>Envergure totale</t>
  </si>
  <si>
    <t>sans</t>
  </si>
  <si>
    <t>vide</t>
  </si>
  <si>
    <t>plein</t>
  </si>
  <si>
    <t>Masse</t>
  </si>
  <si>
    <t>STAB 1</t>
  </si>
  <si>
    <t>STAB 2</t>
  </si>
  <si>
    <t>STAB 3</t>
  </si>
  <si>
    <t>STAB 4</t>
  </si>
  <si>
    <t>STAB 5</t>
  </si>
  <si>
    <t>Vsortie de rampe (&gt; 20 m/s)</t>
  </si>
  <si>
    <t>10 &lt; finesse &lt; 35</t>
  </si>
  <si>
    <t>15 &lt; Portance &lt; 40</t>
  </si>
  <si>
    <t>2*D &lt; Ms &lt; 6*D</t>
  </si>
  <si>
    <t>40 &lt; Ms x Cn &lt; 100</t>
  </si>
  <si>
    <t>Maître couple (m²)</t>
  </si>
  <si>
    <t>Site</t>
  </si>
  <si>
    <t>Temps balistique (s)</t>
  </si>
  <si>
    <t>Temps culmi (s)</t>
  </si>
  <si>
    <t>Altitude culmi (m)</t>
  </si>
  <si>
    <t>Vitesse culmi (m/s)</t>
  </si>
  <si>
    <t>CdG</t>
  </si>
  <si>
    <t>Diamètre max (40à200)</t>
  </si>
  <si>
    <t>Envergure totale &lt;720</t>
  </si>
  <si>
    <t>Masse &lt;15</t>
  </si>
  <si>
    <t>Pensez à modifier l'inclinaison pour avoir les 2 valeurs.</t>
  </si>
  <si>
    <t>Resist long aileron</t>
  </si>
  <si>
    <t>Resist transv aileron</t>
  </si>
  <si>
    <t>Compression 2.Acc.M</t>
  </si>
  <si>
    <t>N</t>
  </si>
  <si>
    <t>kg</t>
  </si>
  <si>
    <t>Surface aileron (m²)</t>
  </si>
  <si>
    <t>Masse aileron (kg)</t>
  </si>
  <si>
    <t>T dépotage +/-2s /appogée</t>
  </si>
  <si>
    <t>REC 2</t>
  </si>
  <si>
    <t>SEQ 5</t>
  </si>
  <si>
    <t>CR 1</t>
  </si>
  <si>
    <t>CR 2</t>
  </si>
  <si>
    <t>MEC 3</t>
  </si>
  <si>
    <t>Vitesse à l'ouverture m/s</t>
  </si>
  <si>
    <t>Surface parachute m²</t>
  </si>
  <si>
    <t xml:space="preserve">Choc à l'ouverture   N </t>
  </si>
  <si>
    <t>Choc à l'ouverture   kg</t>
  </si>
  <si>
    <t>Compression porte</t>
  </si>
  <si>
    <t>Masse au-dessus porte</t>
  </si>
  <si>
    <t>REC 8</t>
  </si>
  <si>
    <t>rad</t>
  </si>
  <si>
    <t>kg/s</t>
  </si>
  <si>
    <t>Méthodes d'intégration maison</t>
  </si>
  <si>
    <t>Wikipedia</t>
  </si>
  <si>
    <t>Pour se limiter à 1000 lignes, pas variable (les transitions sont-elles rigoureuses ?).</t>
  </si>
  <si>
    <t>Le Vol de la Fusée</t>
  </si>
  <si>
    <t>Beeman (2nd order, explicit variant)</t>
  </si>
  <si>
    <t>Newmark-beta (with γ=1/2 &amp; β=1/4) (2nd order)</t>
  </si>
  <si>
    <t>Spécificités de notre problème (2nd order mechanical ODE) :</t>
  </si>
  <si>
    <t>Verlet (2-stage 2nd order, symplectic, explicit)</t>
  </si>
  <si>
    <t>Trajec 2.x utililse un mélange douteux de différentes méthodes :</t>
  </si>
  <si>
    <t>Méthodes d'intégration explicites officielles</t>
  </si>
  <si>
    <t>On peut anticiper la Poussée (force qui varie le +) et la masse.</t>
  </si>
  <si>
    <t>L'Acc dépend de la vitesse (et peu de la position).</t>
  </si>
  <si>
    <t>Semi-implicit Euler (1st order, symplectic) [§ "Euler modifié" dans Le Vol de La Fusée]</t>
  </si>
  <si>
    <t>Explicit Euler (1st order, non-symplectic) [RK1]</t>
  </si>
  <si>
    <t>Velocity Verlet, Leapfrog variant (2nd order, symplectic, explicit)</t>
  </si>
  <si>
    <t>Midpoint, Modified Euler (2nd order, explicit) [§ "RK2" dans Le Vol de La Fusée]</t>
  </si>
  <si>
    <t>Heun, Improved Euler (2-stage 2nd-order, explicit, predictor-corrector) [Trapezoidal] [RK2]</t>
  </si>
  <si>
    <t>Les méthodes symplectic (conserve l'énergie) gardent-elles leur avantage quand la masse varie (ph propu) ?</t>
  </si>
  <si>
    <t>Sous Excel, on a les pas précédent (linear multistep possible), mais ordre élevé ou implicite sont à exclure.</t>
  </si>
  <si>
    <t>Multi{sub}step (RK), linear multi{previous}step (ADAMS), predictor-corrector, implicit …</t>
  </si>
  <si>
    <t>Dynamique de la fusée (repère sol)</t>
  </si>
  <si>
    <t>Brun/Orange…</t>
  </si>
  <si>
    <t>Rouge…</t>
  </si>
  <si>
    <t>Trajecto/StabTraj corrige l'erreur de Trajec sur Xn+1 en utilisant la vitesse moyenne :</t>
  </si>
  <si>
    <t>Idéalement, il serait préférable de tout calculer à n+0.5 (m, V, β, ρ).</t>
  </si>
  <si>
    <t>Checksum :</t>
  </si>
  <si>
    <t>M_éjecté</t>
  </si>
  <si>
    <t>M_burnout</t>
  </si>
  <si>
    <t>m_poudre</t>
  </si>
  <si>
    <t>Wapiti</t>
  </si>
  <si>
    <t>Cariacou</t>
  </si>
  <si>
    <t>H2O</t>
  </si>
  <si>
    <t>H2O 2.0L 400g 6bar</t>
  </si>
  <si>
    <t>H2O 2.0L 600g 6bar</t>
  </si>
  <si>
    <t>H2O 2.0L 800g 6bar</t>
  </si>
  <si>
    <t>H2O 2.0L 1000g 6bar</t>
  </si>
  <si>
    <t>ABACO</t>
  </si>
  <si>
    <t>Masse totale</t>
  </si>
  <si>
    <t>Traînée prop</t>
  </si>
  <si>
    <t>Traînée bal</t>
  </si>
  <si>
    <t>1/2.ρ.S.Cx</t>
  </si>
  <si>
    <t>M ph prop</t>
  </si>
  <si>
    <t>M ph bal</t>
  </si>
  <si>
    <t>alt_prop</t>
  </si>
  <si>
    <t>V_prop</t>
  </si>
  <si>
    <t>t_culmi</t>
  </si>
  <si>
    <t>D_var</t>
  </si>
  <si>
    <t>Q_var</t>
  </si>
  <si>
    <t>m_var</t>
  </si>
  <si>
    <t>m_prop</t>
  </si>
  <si>
    <t>m_bal</t>
  </si>
  <si>
    <t>a_prop</t>
  </si>
  <si>
    <t>b_prop</t>
  </si>
  <si>
    <t>b_bal</t>
  </si>
  <si>
    <t>Alt prop</t>
  </si>
  <si>
    <t>V max</t>
  </si>
  <si>
    <t>LibreOffice Calc 3.4 ou +</t>
  </si>
  <si>
    <t>alt_culmi</t>
  </si>
  <si>
    <t>x_triomphe</t>
  </si>
  <si>
    <t>z_triomphe</t>
  </si>
  <si>
    <t>Arc de triomphe</t>
  </si>
  <si>
    <t>z_Eiffel</t>
  </si>
  <si>
    <t>x_Eiffel</t>
  </si>
  <si>
    <t>Tour Eiffel</t>
  </si>
  <si>
    <t>H2O 1.5L 300g 6bar</t>
  </si>
  <si>
    <t>H2O 1.5L 450g 6bar</t>
  </si>
  <si>
    <t>H2O 1.5L 600g 6bar</t>
  </si>
  <si>
    <t>H2O 1.5L 750g 6bar</t>
  </si>
  <si>
    <t>FUSEX</t>
  </si>
  <si>
    <t>MINIF PRO29-1G</t>
  </si>
  <si>
    <t>MINIF PRO24-3G</t>
  </si>
  <si>
    <t>MINIF PRO29-2G</t>
  </si>
  <si>
    <t>MINIF PRO24-1G</t>
  </si>
  <si>
    <t>Pro98-2G WT</t>
  </si>
  <si>
    <t>Pro98-3G WT</t>
  </si>
  <si>
    <t>p24-1G 24E22</t>
  </si>
  <si>
    <t>p24-1G 26E31</t>
  </si>
  <si>
    <t>p24-3G 60F50</t>
  </si>
  <si>
    <t>p24-3G 68F79</t>
  </si>
  <si>
    <t>p24-3G 68F240</t>
  </si>
  <si>
    <t>p24-3G 73F30</t>
  </si>
  <si>
    <t>p24-3G 74F85</t>
  </si>
  <si>
    <t>p24-3G 75F51</t>
  </si>
  <si>
    <t>StabTraj V3.1</t>
  </si>
  <si>
    <t>StabTraj V3.2</t>
  </si>
  <si>
    <t>µ-propu C6-3 x2</t>
  </si>
  <si>
    <t>µ-propu C6-3 x3</t>
  </si>
  <si>
    <t>Propu : +RC &amp; +Tintin 2013 : 3 p24-1G, p24-3G 75F51 &amp; 60F50, Pro98-2G &amp; 3G WT</t>
  </si>
  <si>
    <t>Propu : +multi-µ-fu, -Wapiti, warning Cariacou, "Rufina"</t>
  </si>
  <si>
    <t>Donneés au format des fiches de lancement Fusex :</t>
  </si>
  <si>
    <t>Projet</t>
  </si>
  <si>
    <t>Chef de projet</t>
  </si>
  <si>
    <t>Date</t>
  </si>
  <si>
    <t>Moteur</t>
  </si>
  <si>
    <t>Virole</t>
  </si>
  <si>
    <t>MECANIQUE</t>
  </si>
  <si>
    <t xml:space="preserve">l = </t>
  </si>
  <si>
    <t xml:space="preserve">D = </t>
  </si>
  <si>
    <t>Dj =</t>
  </si>
  <si>
    <t xml:space="preserve">Dr = </t>
  </si>
  <si>
    <t xml:space="preserve">m = </t>
  </si>
  <si>
    <t>Epaisseur :</t>
  </si>
  <si>
    <t>Nb Aileron</t>
  </si>
  <si>
    <t>Type ogive</t>
  </si>
  <si>
    <t>ogivale</t>
  </si>
  <si>
    <t>parabolique</t>
  </si>
  <si>
    <t>X_plaque de poussée</t>
  </si>
  <si>
    <t>Masse fusée</t>
  </si>
  <si>
    <t>X_CdG</t>
  </si>
  <si>
    <t>Propu plein</t>
  </si>
  <si>
    <t>Sans propu</t>
  </si>
  <si>
    <t>Masse avec propu vide</t>
  </si>
  <si>
    <t>Simulation de vol</t>
  </si>
  <si>
    <t>Tenue mécanique</t>
  </si>
  <si>
    <t>masse d'un aileron</t>
  </si>
  <si>
    <t>superficie d'un aileron</t>
  </si>
  <si>
    <t>fleche acceptable(mm)</t>
  </si>
  <si>
    <t>compression</t>
  </si>
  <si>
    <t>Resistance longitudinale d'un aileron</t>
  </si>
  <si>
    <t>Resistance transversale d'un aileron</t>
  </si>
  <si>
    <t>Récupération</t>
  </si>
  <si>
    <t>Ralentisseur</t>
  </si>
  <si>
    <t>nombre de suspentes</t>
  </si>
  <si>
    <t>surface parachute</t>
  </si>
  <si>
    <t>force à tester totale</t>
  </si>
  <si>
    <t>force sur suspente</t>
  </si>
  <si>
    <t>Séparation latérale</t>
  </si>
  <si>
    <t>masse au dessus case para</t>
  </si>
  <si>
    <t>Force de compression</t>
  </si>
  <si>
    <t>MINIF PRO24-6G</t>
  </si>
  <si>
    <t>MINIF PRO38-1G</t>
  </si>
  <si>
    <t>p29-2G 84G88</t>
  </si>
  <si>
    <t>p29-2G 93G80</t>
  </si>
  <si>
    <t>p29-2G 110G250</t>
  </si>
  <si>
    <t>p29-2G 116G126</t>
  </si>
  <si>
    <t>p38-1G 137G58</t>
  </si>
  <si>
    <t>p38-1G 128G185</t>
  </si>
  <si>
    <t>p29-1G 41F36</t>
  </si>
  <si>
    <t>p29-1G 51F36</t>
  </si>
  <si>
    <t>p29-1G 55F29</t>
  </si>
  <si>
    <t>p29-1G 56F120</t>
  </si>
  <si>
    <t>p29-1G 57F59</t>
  </si>
  <si>
    <t>MINIF PRO29-3G</t>
  </si>
  <si>
    <t>p29-3G 125G131</t>
  </si>
  <si>
    <t>p38-1G 141G78</t>
  </si>
  <si>
    <t>MINIF PRO24-2G</t>
  </si>
  <si>
    <t>p24-2G 50E51</t>
  </si>
  <si>
    <t>p24-1G 53E70</t>
  </si>
  <si>
    <t>p29-3G 159G125</t>
  </si>
  <si>
    <t>Dépotage</t>
  </si>
  <si>
    <t>Combustion</t>
  </si>
  <si>
    <t>Sylvain Besson</t>
  </si>
  <si>
    <t>Minif Test</t>
  </si>
  <si>
    <t>Rocketry Challenge</t>
  </si>
  <si>
    <t>,Minif Tests</t>
  </si>
  <si>
    <t>MiniR</t>
  </si>
  <si>
    <t>MiniRN</t>
  </si>
  <si>
    <t>MiniN</t>
  </si>
  <si>
    <t>H20</t>
  </si>
  <si>
    <t>micro</t>
  </si>
  <si>
    <t>minif N</t>
  </si>
  <si>
    <t>Verification moteur</t>
  </si>
  <si>
    <t>Minif RC</t>
  </si>
  <si>
    <t>N/A</t>
  </si>
  <si>
    <t>T_para =</t>
  </si>
  <si>
    <t>-9</t>
  </si>
  <si>
    <t>-7</t>
  </si>
  <si>
    <t>-5</t>
  </si>
  <si>
    <t>-3</t>
  </si>
  <si>
    <t>-0</t>
  </si>
  <si>
    <t>Délais dépotage</t>
  </si>
  <si>
    <t>Propu : +ProX, Stabilito : séparation minif/RC, Trajecto : dépotage +rampe RC 3m</t>
  </si>
  <si>
    <t>StabTraj V3.3a</t>
  </si>
  <si>
    <t>p24-1G 25E75 (Rufina)</t>
  </si>
  <si>
    <t>Modification des alertes, +Effort subit par les parachutes</t>
  </si>
  <si>
    <t>Pour prendre en compte plsu de moteurs, il faut changer les variables "menu_type" et "liste"propu" dans le gestionnaire de noms.</t>
  </si>
  <si>
    <t>StabTraj V3.3e</t>
  </si>
  <si>
    <t>Efforts</t>
  </si>
  <si>
    <t>Xcp0</t>
  </si>
  <si>
    <t>sans propu</t>
  </si>
  <si>
    <t>Mono-empennage</t>
  </si>
  <si>
    <t>Bi-empennage</t>
  </si>
  <si>
    <t>Portée balistique &lt; 200 m</t>
  </si>
  <si>
    <t>Indication dépotage lanceur</t>
  </si>
  <si>
    <t>~0 m</t>
  </si>
  <si>
    <t>Données au format des fiches de contrôles minif :</t>
  </si>
  <si>
    <t xml:space="preserve">n = </t>
  </si>
  <si>
    <t xml:space="preserve">E = </t>
  </si>
  <si>
    <t xml:space="preserve">p = </t>
  </si>
  <si>
    <t>1,5.D &lt; Ms &lt; 6.D</t>
  </si>
  <si>
    <t xml:space="preserve">ailrons haut </t>
  </si>
  <si>
    <t>nombre</t>
  </si>
  <si>
    <t xml:space="preserve">ep = </t>
  </si>
  <si>
    <t>Fusée</t>
  </si>
  <si>
    <t>D</t>
  </si>
  <si>
    <t>L ogive</t>
  </si>
  <si>
    <t>L tot</t>
  </si>
  <si>
    <t>X prop</t>
  </si>
  <si>
    <t>Ailerons</t>
  </si>
  <si>
    <t>n</t>
  </si>
  <si>
    <t>p</t>
  </si>
  <si>
    <t>E</t>
  </si>
  <si>
    <t>X ail</t>
  </si>
  <si>
    <t>Bi empennage</t>
  </si>
  <si>
    <t>L</t>
  </si>
  <si>
    <t>D 1</t>
  </si>
  <si>
    <t>D 2</t>
  </si>
  <si>
    <t>X</t>
  </si>
  <si>
    <t>X cg (sans)</t>
  </si>
  <si>
    <t>(mm)</t>
  </si>
  <si>
    <t>Masse sans propu (kg)</t>
  </si>
  <si>
    <t>Couleur de la fusée</t>
  </si>
  <si>
    <t>Type d'éjection du para.</t>
  </si>
  <si>
    <t>Couleur du ralentisseur</t>
  </si>
  <si>
    <t>Surface ralentisseur (m²)</t>
  </si>
  <si>
    <t>Masse sans prop. (kg)</t>
  </si>
  <si>
    <t>Diamètre max (mm)</t>
  </si>
  <si>
    <t>Longeur de la rampe (m)</t>
  </si>
  <si>
    <t>Propulseur</t>
  </si>
  <si>
    <t>module rocket(){</t>
  </si>
  <si>
    <t>}</t>
  </si>
  <si>
    <t>//--------------------------------coiffe</t>
  </si>
  <si>
    <t>if (coiffe_type   == "conique"){</t>
  </si>
  <si>
    <t>//--------------------------------corps</t>
  </si>
  <si>
    <t>if (plusieur_diametres == false){</t>
  </si>
  <si>
    <t>} else {</t>
  </si>
  <si>
    <t>//--------------------------------ailerons</t>
  </si>
  <si>
    <t>aileron(coiffe_diametre, aileron_m_emplature,</t>
  </si>
  <si>
    <t xml:space="preserve"> aileron_position_bas);</t>
  </si>
  <si>
    <t>if (bi_empennage == true){</t>
  </si>
  <si>
    <t xml:space="preserve"> aileron_sup_nombre,</t>
  </si>
  <si>
    <t>rocket();</t>
  </si>
  <si>
    <t xml:space="preserve">	module aileron(diam, m, n, p, e, ep, nb, pos, masque = true){</t>
  </si>
  <si>
    <t xml:space="preserve"> 		depha =   masque ? 0 : 45 ;</t>
  </si>
  <si>
    <t xml:space="preserve">		for (angle = [0 : 360/nb : 360] ){</t>
  </si>
  <si>
    <t xml:space="preserve">			translate ([-diam*sin(angle+depha), diam*cos(angle+depha), pos-m]) {</t>
  </si>
  <si>
    <t xml:space="preserve">				rotate( [0, 0, angle+depha] ){</t>
  </si>
  <si>
    <t xml:space="preserve">	</t>
  </si>
  <si>
    <t xml:space="preserve">					polyhedron</t>
  </si>
  <si>
    <t xml:space="preserve">						(points = [</t>
  </si>
  <si>
    <t xml:space="preserve">							[+ep, 0, 0], [+ep, 0, m], [+ep, e, p+n],  [+ep, e, p],</t>
  </si>
  <si>
    <t xml:space="preserve">							[-ep, 0, 0], [-ep, 0, m], [-ep, e, p+n],  [-ep, e, p]</t>
  </si>
  <si>
    <t xml:space="preserve">							],</t>
  </si>
  <si>
    <t xml:space="preserve">						triangles = [</t>
  </si>
  <si>
    <t xml:space="preserve">							[0, 2, 1], [0, 2, 3], //carre +</t>
  </si>
  <si>
    <t xml:space="preserve">							[4, 6, 5], [4, 6, 7], //carre -</t>
  </si>
  <si>
    <t xml:space="preserve">							[0, 5, 1], [0, 5, 4],</t>
  </si>
  <si>
    <t xml:space="preserve">							[1, 6, 2], [1, 6, 5],</t>
  </si>
  <si>
    <t xml:space="preserve">							[2, 7, 3], [2, 7, 6],</t>
  </si>
  <si>
    <t xml:space="preserve">							[0, 7, 3], [0, 7, 4]</t>
  </si>
  <si>
    <t xml:space="preserve">							]</t>
  </si>
  <si>
    <t xml:space="preserve">						);</t>
  </si>
  <si>
    <t xml:space="preserve">				}</t>
  </si>
  <si>
    <t xml:space="preserve">			}</t>
  </si>
  <si>
    <t xml:space="preserve">		}</t>
  </si>
  <si>
    <t xml:space="preserve">	}	</t>
  </si>
  <si>
    <t xml:space="preserve">	module coiffe(diam, hauteur, resolution = 20.0){</t>
  </si>
  <si>
    <t xml:space="preserve">		pas = hauteur/resolution;</t>
  </si>
  <si>
    <t xml:space="preserve">		for (x = [0: pas : hauteur] ){</t>
  </si>
  <si>
    <t xml:space="preserve">			translate( [0, 0, x+pas] ){</t>
  </si>
  <si>
    <t xml:space="preserve">				cylinder(pas, pow(x, 1.0/2.0), pow(x+pas, 1.0/2.0), false);</t>
  </si>
  <si>
    <t xml:space="preserve">	}</t>
  </si>
  <si>
    <t xml:space="preserve">	cylinder(coiffe_hauteur, 0, coiffe_diametre, false);</t>
  </si>
  <si>
    <t xml:space="preserve">	translate ([0, 0, coiffe_hauteur]) {</t>
  </si>
  <si>
    <t xml:space="preserve">		cylinder(longeur_total-coiffe_hauteur, coiffe_diametre, coiffe_diametre, false);</t>
  </si>
  <si>
    <t xml:space="preserve">	//Premier cylindre</t>
  </si>
  <si>
    <t xml:space="preserve">		cylinder(diam_A_X_implantation-coiffe_hauteur, coiffe_diametre, coiffe_diametre, false);</t>
  </si>
  <si>
    <t xml:space="preserve">	//Premier chanvrin</t>
  </si>
  <si>
    <t xml:space="preserve">	translate ([0, 0, diam_A_X_implantation]) {</t>
  </si>
  <si>
    <t xml:space="preserve">		cylinder(diam_A_L_longeur, diam_A_D1_diametre, diam_A_D2_diametre, false);</t>
  </si>
  <si>
    <t xml:space="preserve">		</t>
  </si>
  <si>
    <t xml:space="preserve">	//Second cylindre</t>
  </si>
  <si>
    <t xml:space="preserve">	translate ([0, 0, diam_A_X_implantation+diam_A_L_longeur]) {</t>
  </si>
  <si>
    <t xml:space="preserve">		cylinder(diam_B_X_implantation-(diam_A_X_implantation+diam_A_L_longeur), diam_A_D2_diametre, diam_B_D1_diametre, false);</t>
  </si>
  <si>
    <t xml:space="preserve">	//Second chanvrin</t>
  </si>
  <si>
    <t xml:space="preserve">	translate ([0, 0, diam_B_X_implantation]) {</t>
  </si>
  <si>
    <t xml:space="preserve">		cylinder(diam_B_L_longeur, diam_B_D1_diametre, diam_B_D2_diametre, false);</t>
  </si>
  <si>
    <t xml:space="preserve">	//Troisieme cylindre</t>
  </si>
  <si>
    <t xml:space="preserve">	translate ([0, 0, diam_B_X_implantation + diam_B_L_longeur]) {</t>
  </si>
  <si>
    <t xml:space="preserve">		cylinder(longeur_total-(diam_B_X_implantation + diam_B_L_longeur), diam_B_D2_diametre, diam_B_D2_diametre, false);</t>
  </si>
  <si>
    <t xml:space="preserve">	 aileron_n_saumon, </t>
  </si>
  <si>
    <t xml:space="preserve">	 aileron_p_fleche,</t>
  </si>
  <si>
    <t xml:space="preserve">	 aileron_e_envergure,</t>
  </si>
  <si>
    <t xml:space="preserve">	 aileron_epaisseur,</t>
  </si>
  <si>
    <t xml:space="preserve">	 aileron_nombre,</t>
  </si>
  <si>
    <t xml:space="preserve">	aileron(coiffe_diametre, aileron_sup_m_emplature,</t>
  </si>
  <si>
    <t xml:space="preserve">	 aileron_sup_n_saumon,</t>
  </si>
  <si>
    <t xml:space="preserve">	 aileron_sup_p_fleche,</t>
  </si>
  <si>
    <t xml:space="preserve">	 aileron_sup_e_envergure,</t>
  </si>
  <si>
    <t xml:space="preserve">	 aileron_sup_epaisseur,</t>
  </si>
  <si>
    <t xml:space="preserve">	 aileron_sup_position_bas,</t>
  </si>
  <si>
    <t xml:space="preserve">	 aileron_sup_masque);</t>
  </si>
  <si>
    <t>p24-6G 140G145 PK</t>
  </si>
  <si>
    <t>p24-6G 139G107 DT</t>
  </si>
  <si>
    <t>p24-6G 142G117 WT</t>
  </si>
  <si>
    <t>Klima D9-7 x2</t>
  </si>
  <si>
    <t>Klima D9-7 x3</t>
  </si>
  <si>
    <t>Klima D9-7</t>
  </si>
  <si>
    <t>autre</t>
  </si>
  <si>
    <t>Pandora</t>
  </si>
  <si>
    <t>StabTraj V3.4</t>
  </si>
  <si>
    <t>Propu : +Pandora</t>
  </si>
  <si>
    <t>v3.4</t>
  </si>
  <si>
    <t>Fusée expérimentale.</t>
  </si>
  <si>
    <t>Conique (droite)</t>
  </si>
  <si>
    <t>Plusieurs diamètres.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</si>
</sst>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164" formatCode="General&quot; kg&quot;"/>
    <numFmt numFmtId="165" formatCode="0.0"/>
    <numFmt numFmtId="166" formatCode="0.000000&quot; m²&quot;"/>
    <numFmt numFmtId="167" formatCode="General&quot; m&quot;"/>
    <numFmt numFmtId="168" formatCode="General&quot; °&quot;"/>
    <numFmt numFmtId="169" formatCode="0.000"/>
    <numFmt numFmtId="170" formatCode="General&quot; s&quot;"/>
    <numFmt numFmtId="171" formatCode="General&quot; m²&quot;"/>
    <numFmt numFmtId="172" formatCode="0&quot; m/s&quot;"/>
    <numFmt numFmtId="173" formatCode="0&quot; s&quot;"/>
    <numFmt numFmtId="174" formatCode="General&quot; m/s&quot;"/>
    <numFmt numFmtId="175" formatCode="0&quot; m&quot;"/>
    <numFmt numFmtId="176" formatCode="General\ &quot;kg&quot;"/>
    <numFmt numFmtId="177" formatCode="General\ &quot;mm&quot;"/>
    <numFmt numFmtId="178" formatCode="0&quot; mm&quot;"/>
    <numFmt numFmtId="179" formatCode="General\ &quot;D&quot;"/>
    <numFmt numFmtId="180" formatCode="0.00&quot; D&quot;"/>
    <numFmt numFmtId="181" formatCode="0&quot;% L&quot;"/>
    <numFmt numFmtId="182" formatCode="General\°"/>
    <numFmt numFmtId="183" formatCode="0.#"/>
    <numFmt numFmtId="184" formatCode="0.0&quot; N.s&quot;"/>
    <numFmt numFmtId="185" formatCode="\±\ 0&quot; m&quot;"/>
    <numFmt numFmtId="186" formatCode="0.0&quot; s&quot;"/>
    <numFmt numFmtId="187" formatCode="0.0&quot; m/s&quot;"/>
    <numFmt numFmtId="188" formatCode="0&quot; m/s²&quot;"/>
    <numFmt numFmtId="189" formatCode="0.00&quot; m²&quot;"/>
    <numFmt numFmtId="190" formatCode="General\ &quot;g&quot;"/>
    <numFmt numFmtId="191" formatCode="#,##0.0\ [$ N]"/>
    <numFmt numFmtId="192" formatCode="#,##0.000\ [$KG]"/>
    <numFmt numFmtId="193" formatCode="0.0&quot; mm&quot;"/>
    <numFmt numFmtId="194" formatCode="General&quot; kg ±100%&quot;"/>
    <numFmt numFmtId="195" formatCode="0&quot; mm ±50%&quot;"/>
    <numFmt numFmtId="196" formatCode="General\ &quot;m/s²&quot;"/>
    <numFmt numFmtId="197" formatCode="&quot;Ø = &quot;0&quot; mm&quot;"/>
    <numFmt numFmtId="198" formatCode="#,##0\ [$ mm²]"/>
    <numFmt numFmtId="199" formatCode="#,#00\ [$ mm]"/>
    <numFmt numFmtId="200" formatCode="#,##0\ [$mm]"/>
    <numFmt numFmtId="201" formatCode="#,##0.00000\ [$ m²]"/>
    <numFmt numFmtId="202" formatCode="#,##0.0\ [$ kg]"/>
    <numFmt numFmtId="203" formatCode="0.00&quot; s&quot;"/>
    <numFmt numFmtId="204" formatCode="0.0&quot; N&quot;"/>
    <numFmt numFmtId="205" formatCode="0&quot; J&quot;"/>
    <numFmt numFmtId="206" formatCode="0&quot; G&quot;"/>
  </numFmts>
  <fonts count="55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b/>
      <sz val="10"/>
      <color indexed="58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sz val="8"/>
      <color indexed="8"/>
      <name val="Tahoma"/>
      <family val="2"/>
    </font>
    <font>
      <i/>
      <sz val="8"/>
      <color indexed="8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16"/>
      <name val="Tahoma"/>
      <family val="2"/>
    </font>
    <font>
      <strike/>
      <sz val="10"/>
      <name val="Arial"/>
      <family val="2"/>
    </font>
    <font>
      <b/>
      <i/>
      <sz val="8"/>
      <color indexed="8"/>
      <name val="Tahoma"/>
      <family val="2"/>
    </font>
    <font>
      <b/>
      <sz val="10"/>
      <color indexed="23"/>
      <name val="Arial"/>
      <family val="2"/>
    </font>
    <font>
      <b/>
      <sz val="6"/>
      <name val="Arial"/>
      <family val="2"/>
    </font>
    <font>
      <sz val="8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0"/>
      <color indexed="53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808080"/>
      <name val="Arial"/>
      <family val="2"/>
    </font>
    <font>
      <sz val="10"/>
      <color rgb="FF808080"/>
      <name val="Arial"/>
      <family val="2"/>
    </font>
    <font>
      <sz val="8"/>
      <color rgb="FF808080"/>
      <name val="Arial"/>
      <family val="2"/>
    </font>
    <font>
      <sz val="8"/>
      <color theme="0"/>
      <name val="Arial"/>
      <family val="2"/>
    </font>
    <font>
      <sz val="10"/>
      <color rgb="FFFF0000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i/>
      <sz val="8"/>
      <color rgb="FF000000"/>
      <name val="Tahoma"/>
      <family val="2"/>
    </font>
    <font>
      <sz val="8"/>
      <color rgb="FFFF0000"/>
      <name val="Tahoma"/>
      <family val="2"/>
    </font>
    <font>
      <i/>
      <sz val="8"/>
      <color rgb="FFFF0000"/>
      <name val="Tahoma"/>
      <family val="2"/>
    </font>
    <font>
      <b/>
      <sz val="8"/>
      <color rgb="FF800000"/>
      <name val="Tahoma"/>
      <family val="2"/>
    </font>
    <font>
      <i/>
      <sz val="8"/>
      <color rgb="FF800000"/>
      <name val="Tahoma"/>
      <family val="2"/>
    </font>
    <font>
      <sz val="8"/>
      <color rgb="FF0000FF"/>
      <name val="Tahoma"/>
      <family val="2"/>
    </font>
    <font>
      <i/>
      <sz val="8"/>
      <color rgb="FF0000FF"/>
      <name val="Tahoma"/>
      <family val="2"/>
    </font>
    <font>
      <b/>
      <u/>
      <sz val="8"/>
      <color rgb="FF00000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indexed="44"/>
        <bgColor indexed="27"/>
      </patternFill>
    </fill>
    <fill>
      <patternFill patternType="solid">
        <fgColor indexed="44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27"/>
      </patternFill>
    </fill>
    <fill>
      <patternFill patternType="solid">
        <fgColor indexed="47"/>
        <bgColor indexed="4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44"/>
      </patternFill>
    </fill>
    <fill>
      <patternFill patternType="solid">
        <fgColor indexed="26"/>
        <bgColor indexed="41"/>
      </patternFill>
    </fill>
    <fill>
      <patternFill patternType="solid">
        <fgColor indexed="42"/>
        <bgColor indexed="41"/>
      </patternFill>
    </fill>
    <fill>
      <patternFill patternType="solid">
        <fgColor indexed="43"/>
        <bgColor indexed="41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rgb="FFCCFFFF"/>
        <bgColor indexed="41"/>
      </patternFill>
    </fill>
    <fill>
      <patternFill patternType="solid">
        <fgColor rgb="FF99CCFF"/>
        <bgColor indexed="31"/>
      </patternFill>
    </fill>
    <fill>
      <patternFill patternType="solid">
        <fgColor rgb="FFCCFFFF"/>
        <bgColor indexed="42"/>
      </patternFill>
    </fill>
    <fill>
      <patternFill patternType="solid">
        <fgColor rgb="FFCCFFCC"/>
        <bgColor indexed="42"/>
      </patternFill>
    </fill>
    <fill>
      <patternFill patternType="solid">
        <fgColor rgb="FFCCFFCC"/>
        <bgColor indexed="41"/>
      </patternFill>
    </fill>
    <fill>
      <patternFill patternType="solid">
        <fgColor rgb="FFFFCC99"/>
        <bgColor indexed="31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42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42"/>
      </patternFill>
    </fill>
  </fills>
  <borders count="103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1"/>
      </left>
      <right style="thick">
        <color indexed="57"/>
      </right>
      <top style="thick">
        <color indexed="57"/>
      </top>
      <bottom style="thick">
        <color indexed="57"/>
      </bottom>
      <diagonal/>
    </border>
    <border>
      <left style="thick">
        <color indexed="57"/>
      </left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2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18"/>
      </left>
      <right/>
      <top style="thick">
        <color indexed="18"/>
      </top>
      <bottom style="thick">
        <color indexed="18"/>
      </bottom>
      <diagonal/>
    </border>
    <border>
      <left/>
      <right style="thick">
        <color indexed="18"/>
      </right>
      <top style="thick">
        <color indexed="18"/>
      </top>
      <bottom style="thick">
        <color indexed="18"/>
      </bottom>
      <diagonal/>
    </border>
    <border>
      <left style="thick">
        <color indexed="14"/>
      </left>
      <right style="thin">
        <color indexed="6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thick">
        <color indexed="14"/>
      </right>
      <top style="thick">
        <color indexed="14"/>
      </top>
      <bottom style="thick">
        <color indexed="1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23"/>
      </top>
      <bottom style="thin">
        <color indexed="8"/>
      </bottom>
      <diagonal/>
    </border>
    <border>
      <left/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" fillId="0" borderId="0"/>
  </cellStyleXfs>
  <cellXfs count="67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9" fillId="0" borderId="0" xfId="0" applyFont="1"/>
    <xf numFmtId="0" fontId="10" fillId="0" borderId="0" xfId="1" applyNumberFormat="1" applyFill="1" applyBorder="1" applyAlignment="1" applyProtection="1"/>
    <xf numFmtId="14" fontId="0" fillId="0" borderId="0" xfId="0" applyNumberFormat="1" applyAlignment="1">
      <alignment horizontal="left"/>
    </xf>
    <xf numFmtId="171" fontId="2" fillId="3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>
      <alignment vertical="center"/>
    </xf>
    <xf numFmtId="0" fontId="2" fillId="0" borderId="3" xfId="2" applyFont="1" applyBorder="1"/>
    <xf numFmtId="0" fontId="2" fillId="0" borderId="4" xfId="2" applyFont="1" applyBorder="1"/>
    <xf numFmtId="0" fontId="2" fillId="0" borderId="4" xfId="2" applyFont="1" applyBorder="1" applyAlignment="1">
      <alignment horizontal="center"/>
    </xf>
    <xf numFmtId="0" fontId="15" fillId="0" borderId="4" xfId="2" applyFont="1" applyBorder="1" applyProtection="1">
      <protection hidden="1"/>
    </xf>
    <xf numFmtId="0" fontId="1" fillId="0" borderId="5" xfId="2" applyBorder="1"/>
    <xf numFmtId="0" fontId="2" fillId="0" borderId="0" xfId="2" applyFont="1"/>
    <xf numFmtId="0" fontId="2" fillId="0" borderId="6" xfId="2" applyFont="1" applyBorder="1"/>
    <xf numFmtId="0" fontId="15" fillId="0" borderId="0" xfId="2" applyFont="1" applyProtection="1">
      <protection hidden="1"/>
    </xf>
    <xf numFmtId="0" fontId="1" fillId="0" borderId="7" xfId="2" applyBorder="1"/>
    <xf numFmtId="0" fontId="4" fillId="0" borderId="0" xfId="2" applyFont="1"/>
    <xf numFmtId="0" fontId="2" fillId="0" borderId="7" xfId="2" applyFont="1" applyBorder="1"/>
    <xf numFmtId="0" fontId="2" fillId="0" borderId="0" xfId="2" applyFont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0" fontId="16" fillId="0" borderId="0" xfId="2" applyFont="1"/>
    <xf numFmtId="0" fontId="2" fillId="0" borderId="0" xfId="2" applyFont="1" applyProtection="1">
      <protection hidden="1"/>
    </xf>
    <xf numFmtId="0" fontId="15" fillId="4" borderId="8" xfId="2" applyFont="1" applyFill="1" applyBorder="1" applyAlignment="1" applyProtection="1">
      <alignment horizontal="center"/>
      <protection locked="0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4" borderId="2" xfId="2" applyFont="1" applyFill="1" applyBorder="1" applyAlignment="1" applyProtection="1">
      <alignment horizontal="center"/>
      <protection locked="0"/>
    </xf>
    <xf numFmtId="0" fontId="16" fillId="0" borderId="0" xfId="2" applyFont="1" applyProtection="1">
      <protection hidden="1"/>
    </xf>
    <xf numFmtId="0" fontId="15" fillId="0" borderId="0" xfId="2" applyFont="1"/>
    <xf numFmtId="14" fontId="15" fillId="0" borderId="0" xfId="2" applyNumberFormat="1" applyFont="1" applyAlignment="1" applyProtection="1">
      <alignment horizontal="center"/>
      <protection hidden="1"/>
    </xf>
    <xf numFmtId="0" fontId="2" fillId="0" borderId="9" xfId="2" applyFont="1" applyBorder="1"/>
    <xf numFmtId="0" fontId="2" fillId="0" borderId="10" xfId="2" applyFont="1" applyBorder="1" applyAlignment="1" applyProtection="1">
      <alignment horizontal="center"/>
      <protection locked="0"/>
    </xf>
    <xf numFmtId="0" fontId="2" fillId="0" borderId="10" xfId="2" applyFont="1" applyBorder="1" applyProtection="1">
      <protection locked="0"/>
    </xf>
    <xf numFmtId="0" fontId="2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1" fontId="15" fillId="0" borderId="0" xfId="2" applyNumberFormat="1" applyFont="1" applyAlignment="1" applyProtection="1">
      <alignment horizontal="center"/>
      <protection hidden="1"/>
    </xf>
    <xf numFmtId="0" fontId="0" fillId="0" borderId="0" xfId="0" applyAlignment="1">
      <alignment horizontal="left"/>
    </xf>
    <xf numFmtId="0" fontId="15" fillId="0" borderId="0" xfId="0" applyFont="1"/>
    <xf numFmtId="0" fontId="23" fillId="0" borderId="0" xfId="0" applyFont="1"/>
    <xf numFmtId="14" fontId="0" fillId="0" borderId="0" xfId="0" applyNumberForma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169" fontId="0" fillId="0" borderId="0" xfId="0" applyNumberFormat="1" applyAlignment="1" applyProtection="1">
      <alignment vertical="center"/>
      <protection hidden="1"/>
    </xf>
    <xf numFmtId="164" fontId="0" fillId="3" borderId="11" xfId="0" applyNumberFormat="1" applyFill="1" applyBorder="1" applyAlignment="1">
      <alignment horizontal="center"/>
    </xf>
    <xf numFmtId="178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5" fillId="0" borderId="10" xfId="2" applyFont="1" applyBorder="1" applyProtection="1">
      <protection locked="0"/>
    </xf>
    <xf numFmtId="0" fontId="10" fillId="0" borderId="0" xfId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3" xfId="0" applyBorder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82" fontId="2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/>
    </xf>
    <xf numFmtId="0" fontId="0" fillId="0" borderId="0" xfId="2" applyFont="1" applyAlignment="1" applyProtection="1">
      <alignment horizontal="center"/>
      <protection hidden="1"/>
    </xf>
    <xf numFmtId="0" fontId="8" fillId="0" borderId="4" xfId="2" applyFont="1" applyBorder="1"/>
    <xf numFmtId="0" fontId="8" fillId="0" borderId="0" xfId="2" applyFont="1"/>
    <xf numFmtId="0" fontId="8" fillId="0" borderId="0" xfId="2" applyFont="1" applyProtection="1">
      <protection hidden="1"/>
    </xf>
    <xf numFmtId="0" fontId="8" fillId="0" borderId="10" xfId="2" applyFont="1" applyBorder="1" applyProtection="1">
      <protection locked="0"/>
    </xf>
    <xf numFmtId="0" fontId="8" fillId="0" borderId="0" xfId="2" applyFont="1" applyAlignment="1" applyProtection="1">
      <alignment horizontal="center"/>
      <protection hidden="1"/>
    </xf>
    <xf numFmtId="1" fontId="8" fillId="0" borderId="0" xfId="2" applyNumberFormat="1" applyFont="1" applyAlignment="1" applyProtection="1">
      <alignment horizontal="center"/>
      <protection hidden="1"/>
    </xf>
    <xf numFmtId="0" fontId="28" fillId="0" borderId="0" xfId="2" applyFont="1"/>
    <xf numFmtId="0" fontId="0" fillId="0" borderId="0" xfId="0" applyProtection="1">
      <protection locked="0"/>
    </xf>
    <xf numFmtId="165" fontId="2" fillId="5" borderId="14" xfId="2" applyNumberFormat="1" applyFont="1" applyFill="1" applyBorder="1" applyAlignment="1">
      <alignment horizontal="center"/>
    </xf>
    <xf numFmtId="180" fontId="2" fillId="5" borderId="2" xfId="2" applyNumberFormat="1" applyFont="1" applyFill="1" applyBorder="1" applyAlignment="1">
      <alignment horizontal="center"/>
    </xf>
    <xf numFmtId="180" fontId="2" fillId="5" borderId="14" xfId="2" applyNumberFormat="1" applyFont="1" applyFill="1" applyBorder="1" applyAlignment="1">
      <alignment horizontal="center"/>
    </xf>
    <xf numFmtId="165" fontId="2" fillId="5" borderId="2" xfId="2" applyNumberFormat="1" applyFont="1" applyFill="1" applyBorder="1" applyAlignment="1">
      <alignment horizontal="center"/>
    </xf>
    <xf numFmtId="181" fontId="25" fillId="5" borderId="2" xfId="2" applyNumberFormat="1" applyFont="1" applyFill="1" applyBorder="1" applyAlignment="1">
      <alignment horizontal="center"/>
    </xf>
    <xf numFmtId="181" fontId="25" fillId="5" borderId="14" xfId="2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  <protection hidden="1"/>
    </xf>
    <xf numFmtId="0" fontId="25" fillId="5" borderId="2" xfId="2" applyFont="1" applyFill="1" applyBorder="1" applyAlignment="1" applyProtection="1">
      <alignment horizontal="center"/>
      <protection hidden="1"/>
    </xf>
    <xf numFmtId="0" fontId="29" fillId="5" borderId="2" xfId="2" applyFont="1" applyFill="1" applyBorder="1" applyAlignment="1" applyProtection="1">
      <alignment horizontal="center"/>
      <protection hidden="1"/>
    </xf>
    <xf numFmtId="0" fontId="2" fillId="6" borderId="2" xfId="2" applyFont="1" applyFill="1" applyBorder="1" applyAlignment="1">
      <alignment horizontal="center"/>
    </xf>
    <xf numFmtId="0" fontId="25" fillId="6" borderId="2" xfId="2" applyFont="1" applyFill="1" applyBorder="1" applyAlignment="1">
      <alignment horizontal="center"/>
    </xf>
    <xf numFmtId="0" fontId="30" fillId="0" borderId="0" xfId="2" applyFont="1"/>
    <xf numFmtId="0" fontId="30" fillId="6" borderId="2" xfId="2" applyFont="1" applyFill="1" applyBorder="1" applyAlignment="1" applyProtection="1">
      <alignment horizontal="center"/>
      <protection hidden="1"/>
    </xf>
    <xf numFmtId="176" fontId="30" fillId="5" borderId="2" xfId="2" applyNumberFormat="1" applyFont="1" applyFill="1" applyBorder="1" applyAlignment="1" applyProtection="1">
      <alignment horizontal="center"/>
      <protection hidden="1"/>
    </xf>
    <xf numFmtId="0" fontId="30" fillId="5" borderId="2" xfId="2" applyFont="1" applyFill="1" applyBorder="1" applyAlignment="1">
      <alignment horizontal="center"/>
    </xf>
    <xf numFmtId="177" fontId="30" fillId="5" borderId="2" xfId="2" applyNumberFormat="1" applyFont="1" applyFill="1" applyBorder="1" applyAlignment="1" applyProtection="1">
      <alignment horizontal="center"/>
      <protection hidden="1"/>
    </xf>
    <xf numFmtId="176" fontId="30" fillId="5" borderId="2" xfId="2" applyNumberFormat="1" applyFont="1" applyFill="1" applyBorder="1" applyAlignment="1">
      <alignment horizontal="center"/>
    </xf>
    <xf numFmtId="178" fontId="30" fillId="5" borderId="2" xfId="2" applyNumberFormat="1" applyFont="1" applyFill="1" applyBorder="1" applyAlignment="1" applyProtection="1">
      <alignment horizontal="center"/>
      <protection hidden="1"/>
    </xf>
    <xf numFmtId="0" fontId="30" fillId="0" borderId="0" xfId="2" applyFont="1" applyProtection="1">
      <protection hidden="1"/>
    </xf>
    <xf numFmtId="2" fontId="0" fillId="7" borderId="15" xfId="0" applyNumberFormat="1" applyFill="1" applyBorder="1" applyAlignment="1">
      <alignment horizontal="center" vertical="center"/>
    </xf>
    <xf numFmtId="165" fontId="0" fillId="7" borderId="15" xfId="0" applyNumberForma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165" fontId="2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15" fillId="7" borderId="15" xfId="0" applyNumberFormat="1" applyFont="1" applyFill="1" applyBorder="1" applyAlignment="1">
      <alignment horizontal="center" vertical="center"/>
    </xf>
    <xf numFmtId="165" fontId="15" fillId="7" borderId="15" xfId="0" applyNumberFormat="1" applyFont="1" applyFill="1" applyBorder="1" applyAlignment="1">
      <alignment horizontal="center" vertical="center"/>
    </xf>
    <xf numFmtId="165" fontId="0" fillId="7" borderId="16" xfId="0" applyNumberFormat="1" applyFill="1" applyBorder="1" applyAlignment="1">
      <alignment horizontal="center" vertical="center"/>
    </xf>
    <xf numFmtId="1" fontId="2" fillId="7" borderId="16" xfId="0" applyNumberFormat="1" applyFont="1" applyFill="1" applyBorder="1" applyAlignment="1">
      <alignment horizontal="center" vertical="center"/>
    </xf>
    <xf numFmtId="165" fontId="15" fillId="7" borderId="16" xfId="0" applyNumberFormat="1" applyFont="1" applyFill="1" applyBorder="1" applyAlignment="1">
      <alignment horizontal="center" vertical="center"/>
    </xf>
    <xf numFmtId="1" fontId="2" fillId="7" borderId="17" xfId="0" applyNumberFormat="1" applyFont="1" applyFill="1" applyBorder="1" applyAlignment="1">
      <alignment horizontal="center" vertical="center"/>
    </xf>
    <xf numFmtId="1" fontId="0" fillId="7" borderId="17" xfId="0" applyNumberForma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65" fontId="0" fillId="7" borderId="17" xfId="0" applyNumberFormat="1" applyFill="1" applyBorder="1" applyAlignment="1">
      <alignment horizontal="center" vertical="center"/>
    </xf>
    <xf numFmtId="1" fontId="15" fillId="7" borderId="16" xfId="0" applyNumberFormat="1" applyFont="1" applyFill="1" applyBorder="1" applyAlignment="1">
      <alignment horizontal="center" vertical="center"/>
    </xf>
    <xf numFmtId="1" fontId="15" fillId="7" borderId="17" xfId="0" applyNumberFormat="1" applyFont="1" applyFill="1" applyBorder="1" applyAlignment="1">
      <alignment horizontal="center" vertical="center"/>
    </xf>
    <xf numFmtId="165" fontId="2" fillId="7" borderId="17" xfId="0" applyNumberFormat="1" applyFont="1" applyFill="1" applyBorder="1" applyAlignment="1">
      <alignment horizontal="center" vertical="center"/>
    </xf>
    <xf numFmtId="173" fontId="2" fillId="7" borderId="2" xfId="0" applyNumberFormat="1" applyFont="1" applyFill="1" applyBorder="1" applyAlignment="1">
      <alignment horizontal="center" vertical="center"/>
    </xf>
    <xf numFmtId="0" fontId="2" fillId="8" borderId="18" xfId="0" applyFont="1" applyFill="1" applyBorder="1" applyAlignment="1" applyProtection="1">
      <alignment horizontal="center" vertical="center"/>
      <protection hidden="1"/>
    </xf>
    <xf numFmtId="0" fontId="2" fillId="9" borderId="15" xfId="0" applyFont="1" applyFill="1" applyBorder="1" applyAlignment="1" applyProtection="1">
      <alignment horizontal="center" vertical="center"/>
      <protection hidden="1"/>
    </xf>
    <xf numFmtId="0" fontId="5" fillId="9" borderId="15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11" borderId="15" xfId="0" applyFont="1" applyFill="1" applyBorder="1" applyAlignment="1" applyProtection="1">
      <alignment horizontal="center" vertical="center"/>
      <protection hidden="1"/>
    </xf>
    <xf numFmtId="0" fontId="2" fillId="11" borderId="18" xfId="0" applyFont="1" applyFill="1" applyBorder="1" applyAlignment="1" applyProtection="1">
      <alignment horizontal="center" vertical="center"/>
      <protection hidden="1"/>
    </xf>
    <xf numFmtId="0" fontId="13" fillId="12" borderId="2" xfId="0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/>
      <protection locked="0"/>
    </xf>
    <xf numFmtId="174" fontId="2" fillId="13" borderId="2" xfId="0" applyNumberFormat="1" applyFont="1" applyFill="1" applyBorder="1" applyAlignment="1" applyProtection="1">
      <alignment horizontal="center" vertical="center"/>
      <protection locked="0"/>
    </xf>
    <xf numFmtId="178" fontId="14" fillId="14" borderId="2" xfId="2" applyNumberFormat="1" applyFont="1" applyFill="1" applyBorder="1" applyAlignment="1">
      <alignment horizontal="center"/>
    </xf>
    <xf numFmtId="1" fontId="27" fillId="14" borderId="2" xfId="2" applyNumberFormat="1" applyFont="1" applyFill="1" applyBorder="1" applyAlignment="1">
      <alignment horizontal="center"/>
    </xf>
    <xf numFmtId="0" fontId="2" fillId="10" borderId="2" xfId="2" applyFont="1" applyFill="1" applyBorder="1" applyAlignment="1">
      <alignment horizont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13" borderId="15" xfId="0" applyFill="1" applyBorder="1" applyAlignment="1" applyProtection="1">
      <alignment horizontal="center" vertical="center"/>
      <protection locked="0"/>
    </xf>
    <xf numFmtId="185" fontId="2" fillId="7" borderId="2" xfId="0" applyNumberFormat="1" applyFont="1" applyFill="1" applyBorder="1" applyAlignment="1">
      <alignment horizontal="center" vertical="center"/>
    </xf>
    <xf numFmtId="186" fontId="0" fillId="7" borderId="16" xfId="0" applyNumberFormat="1" applyFill="1" applyBorder="1" applyAlignment="1">
      <alignment horizontal="center" vertical="center"/>
    </xf>
    <xf numFmtId="186" fontId="2" fillId="7" borderId="15" xfId="0" applyNumberFormat="1" applyFont="1" applyFill="1" applyBorder="1" applyAlignment="1">
      <alignment horizontal="center" vertical="center"/>
    </xf>
    <xf numFmtId="175" fontId="15" fillId="7" borderId="16" xfId="0" applyNumberFormat="1" applyFont="1" applyFill="1" applyBorder="1" applyAlignment="1">
      <alignment horizontal="center" vertical="center"/>
    </xf>
    <xf numFmtId="175" fontId="15" fillId="7" borderId="15" xfId="0" applyNumberFormat="1" applyFont="1" applyFill="1" applyBorder="1" applyAlignment="1">
      <alignment horizontal="center" vertical="center"/>
    </xf>
    <xf numFmtId="175" fontId="2" fillId="7" borderId="16" xfId="0" applyNumberFormat="1" applyFont="1" applyFill="1" applyBorder="1" applyAlignment="1">
      <alignment horizontal="center" vertical="center"/>
    </xf>
    <xf numFmtId="175" fontId="2" fillId="7" borderId="15" xfId="0" applyNumberFormat="1" applyFont="1" applyFill="1" applyBorder="1" applyAlignment="1">
      <alignment horizontal="center" vertical="center"/>
    </xf>
    <xf numFmtId="172" fontId="2" fillId="7" borderId="15" xfId="0" applyNumberFormat="1" applyFont="1" applyFill="1" applyBorder="1" applyAlignment="1">
      <alignment horizontal="center" vertical="center"/>
    </xf>
    <xf numFmtId="172" fontId="2" fillId="7" borderId="16" xfId="0" applyNumberFormat="1" applyFont="1" applyFill="1" applyBorder="1" applyAlignment="1">
      <alignment horizontal="center" vertical="center"/>
    </xf>
    <xf numFmtId="172" fontId="15" fillId="7" borderId="15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178" fontId="2" fillId="3" borderId="25" xfId="0" applyNumberFormat="1" applyFont="1" applyFill="1" applyBorder="1" applyAlignment="1" applyProtection="1">
      <alignment horizontal="center" vertical="center"/>
      <protection locked="0"/>
    </xf>
    <xf numFmtId="178" fontId="2" fillId="3" borderId="26" xfId="0" applyNumberFormat="1" applyFont="1" applyFill="1" applyBorder="1" applyAlignment="1" applyProtection="1">
      <alignment horizontal="center" vertical="center"/>
      <protection locked="0"/>
    </xf>
    <xf numFmtId="0" fontId="2" fillId="8" borderId="24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0" fillId="9" borderId="27" xfId="0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>
      <alignment vertical="center"/>
    </xf>
    <xf numFmtId="14" fontId="0" fillId="0" borderId="23" xfId="0" applyNumberFormat="1" applyBorder="1" applyAlignment="1">
      <alignment horizontal="center" vertical="center"/>
    </xf>
    <xf numFmtId="189" fontId="2" fillId="7" borderId="25" xfId="0" applyNumberFormat="1" applyFont="1" applyFill="1" applyBorder="1" applyAlignment="1">
      <alignment horizontal="center" vertical="center"/>
    </xf>
    <xf numFmtId="0" fontId="31" fillId="6" borderId="2" xfId="2" applyFont="1" applyFill="1" applyBorder="1" applyAlignment="1" applyProtection="1">
      <alignment horizontal="center"/>
      <protection hidden="1"/>
    </xf>
    <xf numFmtId="178" fontId="31" fillId="5" borderId="2" xfId="2" applyNumberFormat="1" applyFont="1" applyFill="1" applyBorder="1" applyAlignment="1">
      <alignment horizontal="center"/>
    </xf>
    <xf numFmtId="177" fontId="2" fillId="4" borderId="25" xfId="2" applyNumberFormat="1" applyFont="1" applyFill="1" applyBorder="1" applyAlignment="1" applyProtection="1">
      <alignment horizontal="center"/>
      <protection locked="0"/>
    </xf>
    <xf numFmtId="0" fontId="2" fillId="10" borderId="28" xfId="2" applyFont="1" applyFill="1" applyBorder="1" applyAlignment="1" applyProtection="1">
      <alignment horizontal="center"/>
      <protection hidden="1"/>
    </xf>
    <xf numFmtId="0" fontId="2" fillId="10" borderId="29" xfId="2" applyFont="1" applyFill="1" applyBorder="1" applyAlignment="1" applyProtection="1">
      <alignment horizontal="center"/>
      <protection hidden="1"/>
    </xf>
    <xf numFmtId="0" fontId="33" fillId="10" borderId="30" xfId="2" applyFont="1" applyFill="1" applyBorder="1" applyAlignment="1" applyProtection="1">
      <alignment horizontal="center"/>
      <protection hidden="1"/>
    </xf>
    <xf numFmtId="0" fontId="0" fillId="0" borderId="10" xfId="0" applyBorder="1" applyAlignment="1">
      <alignment vertical="center"/>
    </xf>
    <xf numFmtId="0" fontId="15" fillId="0" borderId="10" xfId="2" applyFont="1" applyBorder="1"/>
    <xf numFmtId="0" fontId="15" fillId="0" borderId="31" xfId="2" applyFont="1" applyBorder="1" applyAlignment="1" applyProtection="1">
      <alignment horizontal="center"/>
      <protection hidden="1"/>
    </xf>
    <xf numFmtId="0" fontId="15" fillId="0" borderId="32" xfId="2" applyFont="1" applyBorder="1" applyAlignment="1">
      <alignment horizontal="center"/>
    </xf>
    <xf numFmtId="0" fontId="15" fillId="0" borderId="19" xfId="2" applyFont="1" applyBorder="1" applyAlignment="1" applyProtection="1">
      <alignment horizontal="center"/>
      <protection hidden="1"/>
    </xf>
    <xf numFmtId="0" fontId="15" fillId="0" borderId="20" xfId="2" applyFont="1" applyBorder="1" applyAlignment="1">
      <alignment horizontal="center"/>
    </xf>
    <xf numFmtId="0" fontId="15" fillId="0" borderId="21" xfId="2" applyFont="1" applyBorder="1" applyAlignment="1" applyProtection="1">
      <alignment horizontal="center"/>
      <protection hidden="1"/>
    </xf>
    <xf numFmtId="0" fontId="15" fillId="0" borderId="23" xfId="2" applyFont="1" applyBorder="1" applyAlignment="1">
      <alignment horizontal="center"/>
    </xf>
    <xf numFmtId="0" fontId="15" fillId="0" borderId="20" xfId="2" applyFont="1" applyBorder="1" applyAlignment="1" applyProtection="1">
      <alignment horizontal="center"/>
      <protection hidden="1"/>
    </xf>
    <xf numFmtId="0" fontId="15" fillId="0" borderId="23" xfId="2" applyFont="1" applyBorder="1" applyAlignment="1" applyProtection="1">
      <alignment horizontal="center"/>
      <protection hidden="1"/>
    </xf>
    <xf numFmtId="2" fontId="15" fillId="0" borderId="31" xfId="2" applyNumberFormat="1" applyFont="1" applyBorder="1" applyAlignment="1" applyProtection="1">
      <alignment horizontal="center"/>
      <protection hidden="1"/>
    </xf>
    <xf numFmtId="0" fontId="0" fillId="0" borderId="31" xfId="2" applyFont="1" applyBorder="1" applyAlignment="1" applyProtection="1">
      <alignment horizontal="center"/>
      <protection hidden="1"/>
    </xf>
    <xf numFmtId="0" fontId="0" fillId="0" borderId="33" xfId="2" applyFont="1" applyBorder="1" applyAlignment="1" applyProtection="1">
      <alignment horizontal="center"/>
      <protection hidden="1"/>
    </xf>
    <xf numFmtId="0" fontId="0" fillId="0" borderId="32" xfId="2" applyFont="1" applyBorder="1" applyAlignment="1" applyProtection="1">
      <alignment horizontal="center"/>
      <protection hidden="1"/>
    </xf>
    <xf numFmtId="0" fontId="0" fillId="0" borderId="19" xfId="2" applyFont="1" applyBorder="1" applyAlignment="1" applyProtection="1">
      <alignment horizontal="center"/>
      <protection hidden="1"/>
    </xf>
    <xf numFmtId="0" fontId="15" fillId="0" borderId="22" xfId="2" applyFont="1" applyBorder="1" applyAlignment="1" applyProtection="1">
      <alignment horizontal="center"/>
      <protection hidden="1"/>
    </xf>
    <xf numFmtId="1" fontId="15" fillId="0" borderId="33" xfId="2" applyNumberFormat="1" applyFont="1" applyBorder="1" applyAlignment="1" applyProtection="1">
      <alignment horizontal="center"/>
      <protection hidden="1"/>
    </xf>
    <xf numFmtId="1" fontId="8" fillId="0" borderId="32" xfId="2" applyNumberFormat="1" applyFont="1" applyBorder="1" applyAlignment="1" applyProtection="1">
      <alignment horizontal="center"/>
      <protection hidden="1"/>
    </xf>
    <xf numFmtId="1" fontId="8" fillId="0" borderId="20" xfId="2" applyNumberFormat="1" applyFont="1" applyBorder="1" applyAlignment="1" applyProtection="1">
      <alignment horizontal="center"/>
      <protection hidden="1"/>
    </xf>
    <xf numFmtId="1" fontId="15" fillId="0" borderId="22" xfId="2" applyNumberFormat="1" applyFont="1" applyBorder="1" applyAlignment="1" applyProtection="1">
      <alignment horizontal="center"/>
      <protection hidden="1"/>
    </xf>
    <xf numFmtId="1" fontId="8" fillId="0" borderId="23" xfId="2" applyNumberFormat="1" applyFont="1" applyBorder="1" applyAlignment="1" applyProtection="1">
      <alignment horizontal="center"/>
      <protection hidden="1"/>
    </xf>
    <xf numFmtId="0" fontId="15" fillId="0" borderId="33" xfId="2" applyFont="1" applyBorder="1" applyAlignment="1" applyProtection="1">
      <alignment horizontal="center"/>
      <protection hidden="1"/>
    </xf>
    <xf numFmtId="2" fontId="15" fillId="0" borderId="33" xfId="2" applyNumberFormat="1" applyFont="1" applyBorder="1" applyAlignment="1" applyProtection="1">
      <alignment horizontal="center"/>
      <protection hidden="1"/>
    </xf>
    <xf numFmtId="0" fontId="8" fillId="0" borderId="32" xfId="2" applyFont="1" applyBorder="1" applyAlignment="1" applyProtection="1">
      <alignment horizontal="center"/>
      <protection hidden="1"/>
    </xf>
    <xf numFmtId="0" fontId="8" fillId="0" borderId="20" xfId="2" applyFont="1" applyBorder="1" applyAlignment="1" applyProtection="1">
      <alignment horizontal="center"/>
      <protection hidden="1"/>
    </xf>
    <xf numFmtId="0" fontId="8" fillId="0" borderId="23" xfId="2" applyFont="1" applyBorder="1" applyAlignment="1" applyProtection="1">
      <alignment horizontal="center"/>
      <protection hidden="1"/>
    </xf>
    <xf numFmtId="1" fontId="15" fillId="0" borderId="32" xfId="2" applyNumberFormat="1" applyFont="1" applyBorder="1" applyAlignment="1" applyProtection="1">
      <alignment horizontal="center"/>
      <protection hidden="1"/>
    </xf>
    <xf numFmtId="1" fontId="15" fillId="0" borderId="20" xfId="2" applyNumberFormat="1" applyFont="1" applyBorder="1" applyAlignment="1" applyProtection="1">
      <alignment horizontal="center"/>
      <protection hidden="1"/>
    </xf>
    <xf numFmtId="1" fontId="15" fillId="0" borderId="23" xfId="2" applyNumberFormat="1" applyFont="1" applyBorder="1" applyAlignment="1" applyProtection="1">
      <alignment horizontal="center"/>
      <protection hidden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2" applyFont="1" applyBorder="1" applyAlignment="1" applyProtection="1">
      <alignment horizontal="center"/>
      <protection hidden="1"/>
    </xf>
    <xf numFmtId="165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5" borderId="8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 vertical="center"/>
    </xf>
    <xf numFmtId="190" fontId="2" fillId="4" borderId="2" xfId="2" applyNumberFormat="1" applyFont="1" applyFill="1" applyBorder="1" applyAlignment="1" applyProtection="1">
      <alignment horizontal="center"/>
      <protection locked="0"/>
    </xf>
    <xf numFmtId="0" fontId="0" fillId="0" borderId="0" xfId="2" applyFont="1"/>
    <xf numFmtId="0" fontId="27" fillId="6" borderId="2" xfId="2" applyFont="1" applyFill="1" applyBorder="1" applyAlignment="1" applyProtection="1">
      <alignment horizontal="center"/>
      <protection hidden="1"/>
    </xf>
    <xf numFmtId="189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/>
    </xf>
    <xf numFmtId="0" fontId="2" fillId="11" borderId="18" xfId="1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2" fontId="0" fillId="0" borderId="23" xfId="0" applyNumberFormat="1" applyBorder="1" applyAlignment="1">
      <alignment horizontal="center" vertical="center"/>
    </xf>
    <xf numFmtId="0" fontId="0" fillId="0" borderId="31" xfId="0" applyBorder="1" applyAlignment="1">
      <alignment horizontal="right" vertical="center"/>
    </xf>
    <xf numFmtId="2" fontId="0" fillId="0" borderId="3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33" xfId="0" applyFont="1" applyBorder="1"/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0" fontId="2" fillId="0" borderId="20" xfId="0" applyFont="1" applyBorder="1"/>
    <xf numFmtId="165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/>
    </xf>
    <xf numFmtId="0" fontId="2" fillId="0" borderId="22" xfId="0" applyFont="1" applyBorder="1"/>
    <xf numFmtId="165" fontId="2" fillId="0" borderId="22" xfId="0" applyNumberFormat="1" applyFont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0" xfId="0" applyBorder="1"/>
    <xf numFmtId="0" fontId="2" fillId="4" borderId="20" xfId="0" applyFont="1" applyFill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0" borderId="2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2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4" borderId="23" xfId="0" applyFont="1" applyFill="1" applyBorder="1" applyAlignment="1" applyProtection="1">
      <alignment horizontal="center" vertical="center"/>
      <protection locked="0"/>
    </xf>
    <xf numFmtId="1" fontId="2" fillId="0" borderId="2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0" fontId="2" fillId="0" borderId="35" xfId="0" applyFont="1" applyBorder="1"/>
    <xf numFmtId="1" fontId="2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0" borderId="23" xfId="0" applyFont="1" applyBorder="1"/>
    <xf numFmtId="0" fontId="27" fillId="0" borderId="13" xfId="0" applyFont="1" applyBorder="1" applyAlignment="1">
      <alignment horizontal="right" vertical="center"/>
    </xf>
    <xf numFmtId="0" fontId="27" fillId="0" borderId="13" xfId="2" applyFont="1" applyBorder="1" applyAlignment="1">
      <alignment horizontal="right"/>
    </xf>
    <xf numFmtId="2" fontId="0" fillId="16" borderId="31" xfId="0" applyNumberFormat="1" applyFill="1" applyBorder="1" applyAlignment="1">
      <alignment horizontal="center"/>
    </xf>
    <xf numFmtId="2" fontId="0" fillId="16" borderId="33" xfId="0" applyNumberFormat="1" applyFill="1" applyBorder="1" applyAlignment="1">
      <alignment horizontal="center"/>
    </xf>
    <xf numFmtId="2" fontId="0" fillId="16" borderId="32" xfId="0" applyNumberFormat="1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16" borderId="33" xfId="0" applyFill="1" applyBorder="1" applyAlignment="1">
      <alignment horizontal="center"/>
    </xf>
    <xf numFmtId="0" fontId="0" fillId="16" borderId="32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2" fontId="9" fillId="0" borderId="0" xfId="0" applyNumberFormat="1" applyFont="1" applyAlignment="1">
      <alignment horizontal="left"/>
    </xf>
    <xf numFmtId="2" fontId="10" fillId="0" borderId="0" xfId="1" applyNumberFormat="1" applyAlignment="1">
      <alignment horizontal="left"/>
    </xf>
    <xf numFmtId="2" fontId="10" fillId="0" borderId="0" xfId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21" borderId="20" xfId="0" applyNumberFormat="1" applyFill="1" applyBorder="1" applyAlignment="1">
      <alignment horizontal="center"/>
    </xf>
    <xf numFmtId="2" fontId="0" fillId="21" borderId="23" xfId="0" applyNumberFormat="1" applyFill="1" applyBorder="1" applyAlignment="1">
      <alignment horizontal="center"/>
    </xf>
    <xf numFmtId="2" fontId="0" fillId="21" borderId="19" xfId="0" applyNumberFormat="1" applyFill="1" applyBorder="1" applyAlignment="1">
      <alignment horizontal="center"/>
    </xf>
    <xf numFmtId="2" fontId="0" fillId="21" borderId="0" xfId="0" applyNumberFormat="1" applyFill="1" applyAlignment="1">
      <alignment horizontal="center"/>
    </xf>
    <xf numFmtId="2" fontId="0" fillId="21" borderId="21" xfId="0" applyNumberFormat="1" applyFill="1" applyBorder="1" applyAlignment="1">
      <alignment horizontal="center"/>
    </xf>
    <xf numFmtId="2" fontId="0" fillId="21" borderId="22" xfId="0" applyNumberFormat="1" applyFill="1" applyBorder="1" applyAlignment="1">
      <alignment horizontal="center"/>
    </xf>
    <xf numFmtId="1" fontId="0" fillId="21" borderId="19" xfId="0" applyNumberFormat="1" applyFill="1" applyBorder="1" applyAlignment="1">
      <alignment horizontal="center"/>
    </xf>
    <xf numFmtId="2" fontId="0" fillId="21" borderId="26" xfId="0" applyNumberFormat="1" applyFill="1" applyBorder="1" applyAlignment="1">
      <alignment horizontal="center"/>
    </xf>
    <xf numFmtId="1" fontId="0" fillId="21" borderId="21" xfId="0" applyNumberFormat="1" applyFill="1" applyBorder="1" applyAlignment="1">
      <alignment horizontal="center"/>
    </xf>
    <xf numFmtId="2" fontId="0" fillId="21" borderId="25" xfId="0" applyNumberFormat="1" applyFill="1" applyBorder="1" applyAlignment="1">
      <alignment horizontal="center"/>
    </xf>
    <xf numFmtId="0" fontId="0" fillId="21" borderId="19" xfId="0" applyFill="1" applyBorder="1"/>
    <xf numFmtId="0" fontId="0" fillId="21" borderId="0" xfId="0" applyFill="1"/>
    <xf numFmtId="0" fontId="0" fillId="21" borderId="20" xfId="0" applyFill="1" applyBorder="1" applyAlignment="1">
      <alignment horizontal="center"/>
    </xf>
    <xf numFmtId="0" fontId="0" fillId="21" borderId="21" xfId="0" applyFill="1" applyBorder="1"/>
    <xf numFmtId="0" fontId="0" fillId="21" borderId="22" xfId="0" applyFill="1" applyBorder="1"/>
    <xf numFmtId="0" fontId="0" fillId="21" borderId="23" xfId="0" applyFill="1" applyBorder="1" applyAlignment="1">
      <alignment horizontal="center"/>
    </xf>
    <xf numFmtId="1" fontId="0" fillId="21" borderId="31" xfId="0" applyNumberFormat="1" applyFill="1" applyBorder="1" applyAlignment="1">
      <alignment horizontal="center"/>
    </xf>
    <xf numFmtId="1" fontId="0" fillId="21" borderId="33" xfId="0" applyNumberFormat="1" applyFill="1" applyBorder="1" applyAlignment="1">
      <alignment horizontal="center"/>
    </xf>
    <xf numFmtId="1" fontId="0" fillId="21" borderId="32" xfId="0" applyNumberFormat="1" applyFill="1" applyBorder="1" applyAlignment="1">
      <alignment horizontal="center"/>
    </xf>
    <xf numFmtId="1" fontId="0" fillId="21" borderId="0" xfId="0" applyNumberFormat="1" applyFill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" fontId="0" fillId="21" borderId="22" xfId="0" applyNumberFormat="1" applyFill="1" applyBorder="1" applyAlignment="1">
      <alignment horizontal="center"/>
    </xf>
    <xf numFmtId="1" fontId="0" fillId="21" borderId="23" xfId="0" applyNumberFormat="1" applyFill="1" applyBorder="1" applyAlignment="1">
      <alignment horizontal="center"/>
    </xf>
    <xf numFmtId="2" fontId="0" fillId="21" borderId="32" xfId="0" applyNumberFormat="1" applyFill="1" applyBorder="1" applyAlignment="1">
      <alignment horizontal="center"/>
    </xf>
    <xf numFmtId="2" fontId="0" fillId="21" borderId="24" xfId="0" applyNumberFormat="1" applyFill="1" applyBorder="1" applyAlignment="1">
      <alignment horizontal="center"/>
    </xf>
    <xf numFmtId="2" fontId="0" fillId="21" borderId="31" xfId="0" applyNumberFormat="1" applyFill="1" applyBorder="1" applyAlignment="1">
      <alignment horizontal="center"/>
    </xf>
    <xf numFmtId="0" fontId="0" fillId="22" borderId="36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22" borderId="44" xfId="0" applyFill="1" applyBorder="1" applyAlignment="1">
      <alignment horizontal="center"/>
    </xf>
    <xf numFmtId="0" fontId="0" fillId="22" borderId="45" xfId="0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0" fontId="0" fillId="22" borderId="49" xfId="0" applyFill="1" applyBorder="1" applyAlignment="1">
      <alignment horizontal="center"/>
    </xf>
    <xf numFmtId="0" fontId="0" fillId="22" borderId="50" xfId="0" applyFill="1" applyBorder="1" applyAlignment="1">
      <alignment horizontal="center"/>
    </xf>
    <xf numFmtId="0" fontId="8" fillId="22" borderId="36" xfId="0" applyFont="1" applyFill="1" applyBorder="1" applyAlignment="1">
      <alignment horizontal="center"/>
    </xf>
    <xf numFmtId="0" fontId="15" fillId="22" borderId="37" xfId="0" applyFont="1" applyFill="1" applyBorder="1" applyAlignment="1">
      <alignment horizontal="center"/>
    </xf>
    <xf numFmtId="2" fontId="0" fillId="23" borderId="19" xfId="0" applyNumberFormat="1" applyFill="1" applyBorder="1" applyAlignment="1">
      <alignment horizontal="center"/>
    </xf>
    <xf numFmtId="2" fontId="0" fillId="23" borderId="21" xfId="0" applyNumberFormat="1" applyFill="1" applyBorder="1" applyAlignment="1">
      <alignment horizontal="center"/>
    </xf>
    <xf numFmtId="2" fontId="0" fillId="24" borderId="32" xfId="0" applyNumberFormat="1" applyFill="1" applyBorder="1" applyAlignment="1">
      <alignment horizontal="center"/>
    </xf>
    <xf numFmtId="2" fontId="0" fillId="24" borderId="31" xfId="0" applyNumberFormat="1" applyFill="1" applyBorder="1" applyAlignment="1">
      <alignment horizontal="center"/>
    </xf>
    <xf numFmtId="2" fontId="0" fillId="24" borderId="33" xfId="0" applyNumberFormat="1" applyFill="1" applyBorder="1" applyAlignment="1">
      <alignment horizontal="center"/>
    </xf>
    <xf numFmtId="0" fontId="0" fillId="25" borderId="51" xfId="0" applyFill="1" applyBorder="1" applyAlignment="1">
      <alignment horizontal="center"/>
    </xf>
    <xf numFmtId="184" fontId="0" fillId="25" borderId="11" xfId="0" applyNumberFormat="1" applyFill="1" applyBorder="1" applyAlignment="1">
      <alignment horizontal="center"/>
    </xf>
    <xf numFmtId="173" fontId="0" fillId="25" borderId="11" xfId="0" applyNumberFormat="1" applyFill="1" applyBorder="1" applyAlignment="1">
      <alignment horizontal="center"/>
    </xf>
    <xf numFmtId="164" fontId="0" fillId="24" borderId="11" xfId="0" applyNumberFormat="1" applyFill="1" applyBorder="1" applyAlignment="1">
      <alignment horizontal="center"/>
    </xf>
    <xf numFmtId="164" fontId="0" fillId="25" borderId="11" xfId="0" applyNumberFormat="1" applyFill="1" applyBorder="1" applyAlignment="1">
      <alignment horizontal="center"/>
    </xf>
    <xf numFmtId="178" fontId="0" fillId="24" borderId="11" xfId="0" applyNumberFormat="1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5" borderId="52" xfId="0" applyFill="1" applyBorder="1" applyAlignment="1">
      <alignment horizontal="center"/>
    </xf>
    <xf numFmtId="0" fontId="0" fillId="25" borderId="53" xfId="0" applyFill="1" applyBorder="1" applyAlignment="1">
      <alignment horizontal="center"/>
    </xf>
    <xf numFmtId="0" fontId="2" fillId="26" borderId="52" xfId="0" applyFont="1" applyFill="1" applyBorder="1" applyAlignment="1">
      <alignment horizontal="center"/>
    </xf>
    <xf numFmtId="0" fontId="0" fillId="26" borderId="54" xfId="0" applyFill="1" applyBorder="1" applyAlignment="1">
      <alignment horizontal="center"/>
    </xf>
    <xf numFmtId="0" fontId="0" fillId="26" borderId="53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0" fontId="0" fillId="25" borderId="56" xfId="0" applyFill="1" applyBorder="1" applyAlignment="1">
      <alignment horizontal="center"/>
    </xf>
    <xf numFmtId="0" fontId="0" fillId="25" borderId="57" xfId="0" applyFill="1" applyBorder="1" applyAlignment="1">
      <alignment horizontal="center"/>
    </xf>
    <xf numFmtId="0" fontId="0" fillId="25" borderId="58" xfId="0" applyFill="1" applyBorder="1" applyAlignment="1">
      <alignment horizontal="center"/>
    </xf>
    <xf numFmtId="0" fontId="0" fillId="25" borderId="59" xfId="0" applyFill="1" applyBorder="1" applyAlignment="1">
      <alignment horizontal="center"/>
    </xf>
    <xf numFmtId="0" fontId="0" fillId="25" borderId="60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0" xfId="0" applyFill="1" applyAlignment="1">
      <alignment horizontal="center"/>
    </xf>
    <xf numFmtId="183" fontId="0" fillId="25" borderId="58" xfId="0" applyNumberFormat="1" applyFill="1" applyBorder="1" applyAlignment="1">
      <alignment horizontal="center"/>
    </xf>
    <xf numFmtId="183" fontId="0" fillId="25" borderId="59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169" fontId="0" fillId="3" borderId="56" xfId="0" applyNumberFormat="1" applyFill="1" applyBorder="1" applyAlignment="1">
      <alignment horizontal="center"/>
    </xf>
    <xf numFmtId="0" fontId="0" fillId="26" borderId="1" xfId="0" applyFill="1" applyBorder="1" applyAlignment="1">
      <alignment horizontal="center"/>
    </xf>
    <xf numFmtId="0" fontId="0" fillId="26" borderId="51" xfId="0" applyFill="1" applyBorder="1" applyAlignment="1">
      <alignment horizontal="center"/>
    </xf>
    <xf numFmtId="183" fontId="0" fillId="26" borderId="51" xfId="0" applyNumberFormat="1" applyFill="1" applyBorder="1" applyAlignment="1">
      <alignment horizontal="center"/>
    </xf>
    <xf numFmtId="0" fontId="0" fillId="24" borderId="57" xfId="0" applyFill="1" applyBorder="1" applyAlignment="1">
      <alignment horizontal="center"/>
    </xf>
    <xf numFmtId="0" fontId="0" fillId="24" borderId="62" xfId="0" applyFill="1" applyBorder="1" applyAlignment="1">
      <alignment horizontal="center"/>
    </xf>
    <xf numFmtId="183" fontId="0" fillId="25" borderId="60" xfId="0" applyNumberFormat="1" applyFill="1" applyBorder="1" applyAlignment="1">
      <alignment horizontal="center"/>
    </xf>
    <xf numFmtId="0" fontId="39" fillId="0" borderId="0" xfId="0" applyFont="1" applyAlignment="1">
      <alignment vertical="center"/>
    </xf>
    <xf numFmtId="0" fontId="40" fillId="0" borderId="0" xfId="2" applyFont="1"/>
    <xf numFmtId="0" fontId="40" fillId="27" borderId="2" xfId="2" applyFont="1" applyFill="1" applyBorder="1" applyAlignment="1" applyProtection="1">
      <alignment horizontal="center"/>
      <protection hidden="1"/>
    </xf>
    <xf numFmtId="177" fontId="41" fillId="5" borderId="2" xfId="2" applyNumberFormat="1" applyFont="1" applyFill="1" applyBorder="1" applyAlignment="1" applyProtection="1">
      <alignment horizontal="center"/>
      <protection hidden="1"/>
    </xf>
    <xf numFmtId="0" fontId="39" fillId="0" borderId="0" xfId="2" applyFont="1"/>
    <xf numFmtId="0" fontId="42" fillId="0" borderId="10" xfId="2" applyFont="1" applyBorder="1" applyAlignment="1">
      <alignment horizontal="right"/>
    </xf>
    <xf numFmtId="0" fontId="40" fillId="0" borderId="10" xfId="2" applyFont="1" applyBorder="1"/>
    <xf numFmtId="0" fontId="43" fillId="0" borderId="10" xfId="2" applyFont="1" applyBorder="1" applyAlignment="1">
      <alignment horizontal="left"/>
    </xf>
    <xf numFmtId="0" fontId="42" fillId="0" borderId="10" xfId="2" applyFont="1" applyBorder="1"/>
    <xf numFmtId="0" fontId="42" fillId="0" borderId="7" xfId="0" applyFont="1" applyBorder="1" applyAlignment="1">
      <alignment horizontal="right" vertical="center"/>
    </xf>
    <xf numFmtId="0" fontId="43" fillId="0" borderId="7" xfId="0" applyFon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93" fontId="0" fillId="3" borderId="11" xfId="0" applyNumberFormat="1" applyFill="1" applyBorder="1" applyAlignment="1">
      <alignment horizontal="center"/>
    </xf>
    <xf numFmtId="0" fontId="0" fillId="28" borderId="24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186" fontId="0" fillId="25" borderId="11" xfId="0" applyNumberFormat="1" applyFill="1" applyBorder="1" applyAlignment="1">
      <alignment horizontal="center"/>
    </xf>
    <xf numFmtId="176" fontId="30" fillId="5" borderId="24" xfId="2" applyNumberFormat="1" applyFont="1" applyFill="1" applyBorder="1" applyAlignment="1" applyProtection="1">
      <alignment horizontal="center"/>
      <protection hidden="1"/>
    </xf>
    <xf numFmtId="176" fontId="30" fillId="5" borderId="26" xfId="2" applyNumberFormat="1" applyFont="1" applyFill="1" applyBorder="1" applyAlignment="1" applyProtection="1">
      <alignment horizontal="center"/>
      <protection hidden="1"/>
    </xf>
    <xf numFmtId="176" fontId="30" fillId="5" borderId="25" xfId="2" applyNumberFormat="1" applyFont="1" applyFill="1" applyBorder="1" applyAlignment="1" applyProtection="1">
      <alignment horizontal="center"/>
      <protection hidden="1"/>
    </xf>
    <xf numFmtId="0" fontId="30" fillId="5" borderId="63" xfId="2" applyFont="1" applyFill="1" applyBorder="1" applyAlignment="1">
      <alignment horizontal="center"/>
    </xf>
    <xf numFmtId="0" fontId="30" fillId="5" borderId="20" xfId="2" applyFont="1" applyFill="1" applyBorder="1" applyAlignment="1">
      <alignment horizontal="center"/>
    </xf>
    <xf numFmtId="0" fontId="30" fillId="5" borderId="23" xfId="2" applyFont="1" applyFill="1" applyBorder="1" applyAlignment="1">
      <alignment horizontal="center"/>
    </xf>
    <xf numFmtId="176" fontId="30" fillId="5" borderId="63" xfId="2" applyNumberFormat="1" applyFont="1" applyFill="1" applyBorder="1" applyAlignment="1">
      <alignment horizontal="center"/>
    </xf>
    <xf numFmtId="196" fontId="30" fillId="5" borderId="63" xfId="2" applyNumberFormat="1" applyFont="1" applyFill="1" applyBorder="1" applyAlignment="1">
      <alignment horizontal="center"/>
    </xf>
    <xf numFmtId="196" fontId="30" fillId="5" borderId="20" xfId="2" applyNumberFormat="1" applyFont="1" applyFill="1" applyBorder="1" applyAlignment="1">
      <alignment horizontal="center"/>
    </xf>
    <xf numFmtId="196" fontId="30" fillId="5" borderId="23" xfId="2" applyNumberFormat="1" applyFont="1" applyFill="1" applyBorder="1" applyAlignment="1">
      <alignment horizontal="center"/>
    </xf>
    <xf numFmtId="174" fontId="30" fillId="5" borderId="63" xfId="2" applyNumberFormat="1" applyFont="1" applyFill="1" applyBorder="1" applyAlignment="1">
      <alignment horizontal="center"/>
    </xf>
    <xf numFmtId="174" fontId="30" fillId="5" borderId="20" xfId="2" applyNumberFormat="1" applyFont="1" applyFill="1" applyBorder="1" applyAlignment="1">
      <alignment horizontal="center"/>
    </xf>
    <xf numFmtId="174" fontId="30" fillId="5" borderId="23" xfId="2" applyNumberFormat="1" applyFont="1" applyFill="1" applyBorder="1" applyAlignment="1">
      <alignment horizontal="center"/>
    </xf>
    <xf numFmtId="167" fontId="30" fillId="5" borderId="63" xfId="2" applyNumberFormat="1" applyFont="1" applyFill="1" applyBorder="1" applyAlignment="1">
      <alignment horizontal="center"/>
    </xf>
    <xf numFmtId="167" fontId="30" fillId="5" borderId="20" xfId="2" applyNumberFormat="1" applyFont="1" applyFill="1" applyBorder="1" applyAlignment="1">
      <alignment horizontal="center"/>
    </xf>
    <xf numFmtId="167" fontId="30" fillId="5" borderId="23" xfId="2" applyNumberFormat="1" applyFont="1" applyFill="1" applyBorder="1" applyAlignment="1">
      <alignment horizontal="center"/>
    </xf>
    <xf numFmtId="170" fontId="30" fillId="5" borderId="63" xfId="2" applyNumberFormat="1" applyFont="1" applyFill="1" applyBorder="1" applyAlignment="1">
      <alignment horizontal="center"/>
    </xf>
    <xf numFmtId="170" fontId="30" fillId="5" borderId="20" xfId="2" applyNumberFormat="1" applyFont="1" applyFill="1" applyBorder="1" applyAlignment="1">
      <alignment horizontal="center"/>
    </xf>
    <xf numFmtId="170" fontId="30" fillId="5" borderId="23" xfId="2" applyNumberFormat="1" applyFont="1" applyFill="1" applyBorder="1" applyAlignment="1">
      <alignment horizontal="center"/>
    </xf>
    <xf numFmtId="0" fontId="2" fillId="9" borderId="2" xfId="0" applyFont="1" applyFill="1" applyBorder="1" applyAlignment="1" applyProtection="1">
      <alignment horizontal="center" vertical="center"/>
      <protection hidden="1"/>
    </xf>
    <xf numFmtId="0" fontId="0" fillId="9" borderId="2" xfId="0" applyFill="1" applyBorder="1" applyAlignment="1" applyProtection="1">
      <alignment horizontal="center" vertical="center"/>
      <protection hidden="1"/>
    </xf>
    <xf numFmtId="0" fontId="0" fillId="0" borderId="22" xfId="0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87" fontId="2" fillId="7" borderId="2" xfId="0" applyNumberFormat="1" applyFont="1" applyFill="1" applyBorder="1" applyAlignment="1">
      <alignment horizontal="center" vertical="center"/>
    </xf>
    <xf numFmtId="197" fontId="30" fillId="5" borderId="24" xfId="2" applyNumberFormat="1" applyFont="1" applyFill="1" applyBorder="1" applyAlignment="1">
      <alignment horizontal="center"/>
    </xf>
    <xf numFmtId="197" fontId="30" fillId="5" borderId="26" xfId="2" applyNumberFormat="1" applyFont="1" applyFill="1" applyBorder="1" applyAlignment="1">
      <alignment horizontal="center"/>
    </xf>
    <xf numFmtId="197" fontId="30" fillId="5" borderId="25" xfId="2" applyNumberFormat="1" applyFont="1" applyFill="1" applyBorder="1" applyAlignment="1">
      <alignment horizontal="center"/>
    </xf>
    <xf numFmtId="0" fontId="39" fillId="0" borderId="0" xfId="2" applyFont="1" applyAlignment="1" applyProtection="1">
      <alignment horizontal="right"/>
      <protection hidden="1"/>
    </xf>
    <xf numFmtId="0" fontId="2" fillId="0" borderId="31" xfId="0" applyFont="1" applyBorder="1"/>
    <xf numFmtId="0" fontId="2" fillId="0" borderId="32" xfId="0" applyFont="1" applyBorder="1"/>
    <xf numFmtId="0" fontId="2" fillId="0" borderId="21" xfId="0" applyFont="1" applyBorder="1"/>
    <xf numFmtId="0" fontId="2" fillId="0" borderId="19" xfId="0" applyFont="1" applyBorder="1" applyAlignment="1">
      <alignment horizontal="left"/>
    </xf>
    <xf numFmtId="14" fontId="2" fillId="0" borderId="23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3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19" xfId="0" applyFont="1" applyBorder="1"/>
    <xf numFmtId="0" fontId="2" fillId="0" borderId="34" xfId="0" applyFont="1" applyBorder="1"/>
    <xf numFmtId="0" fontId="2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64" xfId="0" applyFont="1" applyBorder="1" applyAlignment="1">
      <alignment horizontal="center"/>
    </xf>
    <xf numFmtId="201" fontId="15" fillId="0" borderId="0" xfId="0" applyNumberFormat="1" applyFont="1"/>
    <xf numFmtId="191" fontId="0" fillId="0" borderId="0" xfId="0" applyNumberFormat="1"/>
    <xf numFmtId="192" fontId="0" fillId="0" borderId="0" xfId="0" applyNumberFormat="1"/>
    <xf numFmtId="0" fontId="38" fillId="0" borderId="0" xfId="0" applyFont="1"/>
    <xf numFmtId="192" fontId="2" fillId="30" borderId="32" xfId="0" applyNumberFormat="1" applyFont="1" applyFill="1" applyBorder="1" applyProtection="1">
      <protection locked="0"/>
    </xf>
    <xf numFmtId="198" fontId="2" fillId="0" borderId="23" xfId="0" applyNumberFormat="1" applyFont="1" applyBorder="1"/>
    <xf numFmtId="0" fontId="37" fillId="0" borderId="0" xfId="0" applyFont="1"/>
    <xf numFmtId="3" fontId="2" fillId="30" borderId="32" xfId="0" applyNumberFormat="1" applyFont="1" applyFill="1" applyBorder="1" applyAlignment="1">
      <alignment horizontal="center"/>
    </xf>
    <xf numFmtId="191" fontId="2" fillId="0" borderId="33" xfId="0" applyNumberFormat="1" applyFont="1" applyBorder="1" applyAlignment="1">
      <alignment horizontal="center"/>
    </xf>
    <xf numFmtId="192" fontId="2" fillId="0" borderId="32" xfId="0" applyNumberFormat="1" applyFont="1" applyBorder="1" applyAlignment="1">
      <alignment horizontal="center"/>
    </xf>
    <xf numFmtId="191" fontId="2" fillId="0" borderId="22" xfId="0" applyNumberFormat="1" applyFont="1" applyBorder="1" applyAlignment="1">
      <alignment horizontal="center"/>
    </xf>
    <xf numFmtId="192" fontId="2" fillId="0" borderId="23" xfId="0" applyNumberFormat="1" applyFont="1" applyBorder="1" applyAlignment="1">
      <alignment horizontal="center"/>
    </xf>
    <xf numFmtId="192" fontId="2" fillId="30" borderId="32" xfId="0" applyNumberFormat="1" applyFont="1" applyFill="1" applyBorder="1" applyAlignment="1" applyProtection="1">
      <alignment horizontal="center"/>
      <protection locked="0"/>
    </xf>
    <xf numFmtId="202" fontId="2" fillId="0" borderId="23" xfId="0" applyNumberFormat="1" applyFont="1" applyBorder="1" applyAlignment="1">
      <alignment horizontal="center"/>
    </xf>
    <xf numFmtId="201" fontId="2" fillId="0" borderId="23" xfId="0" applyNumberFormat="1" applyFont="1" applyBorder="1" applyAlignment="1">
      <alignment horizontal="center"/>
    </xf>
    <xf numFmtId="199" fontId="2" fillId="0" borderId="33" xfId="0" applyNumberFormat="1" applyFont="1" applyBorder="1" applyAlignment="1">
      <alignment horizontal="center"/>
    </xf>
    <xf numFmtId="200" fontId="2" fillId="0" borderId="32" xfId="0" applyNumberFormat="1" applyFont="1" applyBorder="1" applyAlignment="1">
      <alignment horizontal="center"/>
    </xf>
    <xf numFmtId="191" fontId="2" fillId="0" borderId="0" xfId="0" applyNumberFormat="1" applyFont="1" applyAlignment="1">
      <alignment horizontal="center"/>
    </xf>
    <xf numFmtId="192" fontId="2" fillId="0" borderId="20" xfId="0" applyNumberFormat="1" applyFont="1" applyBorder="1" applyAlignment="1">
      <alignment horizontal="center"/>
    </xf>
    <xf numFmtId="0" fontId="15" fillId="0" borderId="10" xfId="0" applyFont="1" applyBorder="1"/>
    <xf numFmtId="0" fontId="0" fillId="29" borderId="20" xfId="0" applyFill="1" applyBorder="1" applyAlignment="1">
      <alignment horizontal="center"/>
    </xf>
    <xf numFmtId="0" fontId="0" fillId="31" borderId="65" xfId="0" applyFill="1" applyBorder="1" applyAlignment="1">
      <alignment horizontal="center"/>
    </xf>
    <xf numFmtId="186" fontId="0" fillId="24" borderId="11" xfId="0" applyNumberFormat="1" applyFill="1" applyBorder="1" applyAlignment="1">
      <alignment horizontal="center"/>
    </xf>
    <xf numFmtId="203" fontId="0" fillId="24" borderId="11" xfId="0" applyNumberFormat="1" applyFill="1" applyBorder="1" applyAlignment="1">
      <alignment horizontal="center"/>
    </xf>
    <xf numFmtId="0" fontId="2" fillId="11" borderId="66" xfId="0" applyFont="1" applyFill="1" applyBorder="1" applyAlignment="1" applyProtection="1">
      <alignment horizontal="center" vertical="center"/>
      <protection hidden="1"/>
    </xf>
    <xf numFmtId="164" fontId="2" fillId="17" borderId="24" xfId="0" applyNumberFormat="1" applyFont="1" applyFill="1" applyBorder="1" applyAlignment="1">
      <alignment horizontal="center" vertical="center"/>
    </xf>
    <xf numFmtId="0" fontId="2" fillId="11" borderId="67" xfId="0" applyFont="1" applyFill="1" applyBorder="1" applyAlignment="1" applyProtection="1">
      <alignment horizontal="center" vertical="center"/>
      <protection hidden="1"/>
    </xf>
    <xf numFmtId="170" fontId="2" fillId="3" borderId="25" xfId="0" applyNumberFormat="1" applyFont="1" applyFill="1" applyBorder="1" applyAlignment="1" applyProtection="1">
      <alignment horizontal="center" vertical="center"/>
      <protection locked="0"/>
    </xf>
    <xf numFmtId="0" fontId="2" fillId="28" borderId="2" xfId="0" applyFont="1" applyFill="1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9" borderId="25" xfId="0" applyFill="1" applyBorder="1" applyAlignment="1">
      <alignment horizontal="center"/>
    </xf>
    <xf numFmtId="0" fontId="1" fillId="0" borderId="0" xfId="2" applyProtection="1">
      <protection locked="0"/>
    </xf>
    <xf numFmtId="0" fontId="1" fillId="0" borderId="0" xfId="2"/>
    <xf numFmtId="0" fontId="33" fillId="0" borderId="0" xfId="2" applyFont="1"/>
    <xf numFmtId="186" fontId="0" fillId="0" borderId="0" xfId="0" applyNumberFormat="1" applyAlignment="1">
      <alignment vertical="center"/>
    </xf>
    <xf numFmtId="0" fontId="0" fillId="0" borderId="0" xfId="0" quotePrefix="1" applyAlignment="1">
      <alignment horizontal="center" vertical="center"/>
    </xf>
    <xf numFmtId="170" fontId="0" fillId="0" borderId="0" xfId="0" applyNumberFormat="1" applyAlignment="1">
      <alignment horizontal="right" vertical="center"/>
    </xf>
    <xf numFmtId="0" fontId="0" fillId="30" borderId="2" xfId="0" applyFill="1" applyBorder="1" applyAlignment="1">
      <alignment vertical="center"/>
    </xf>
    <xf numFmtId="164" fontId="2" fillId="18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0" xfId="1" applyAlignment="1" applyProtection="1">
      <alignment horizontal="left"/>
      <protection hidden="1"/>
    </xf>
    <xf numFmtId="166" fontId="44" fillId="0" borderId="0" xfId="0" applyNumberFormat="1" applyFont="1" applyAlignment="1">
      <alignment vertical="center"/>
    </xf>
    <xf numFmtId="0" fontId="2" fillId="0" borderId="0" xfId="0" applyFont="1" applyAlignment="1" applyProtection="1">
      <alignment horizontal="center" vertical="center"/>
      <protection hidden="1"/>
    </xf>
    <xf numFmtId="186" fontId="2" fillId="0" borderId="0" xfId="0" applyNumberFormat="1" applyFont="1" applyAlignment="1">
      <alignment horizontal="center" vertical="center"/>
    </xf>
    <xf numFmtId="204" fontId="2" fillId="32" borderId="2" xfId="0" applyNumberFormat="1" applyFont="1" applyFill="1" applyBorder="1" applyAlignment="1">
      <alignment horizontal="center" vertical="center"/>
    </xf>
    <xf numFmtId="175" fontId="0" fillId="7" borderId="46" xfId="0" applyNumberFormat="1" applyFill="1" applyBorder="1" applyAlignment="1">
      <alignment horizontal="center" vertical="center"/>
    </xf>
    <xf numFmtId="175" fontId="2" fillId="7" borderId="2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right" vertical="center"/>
    </xf>
    <xf numFmtId="0" fontId="2" fillId="9" borderId="46" xfId="0" applyFont="1" applyFill="1" applyBorder="1" applyAlignment="1" applyProtection="1">
      <alignment horizontal="center" vertical="center"/>
      <protection hidden="1"/>
    </xf>
    <xf numFmtId="0" fontId="5" fillId="9" borderId="46" xfId="0" applyFont="1" applyFill="1" applyBorder="1" applyAlignment="1" applyProtection="1">
      <alignment horizontal="center" vertical="center"/>
      <protection hidden="1"/>
    </xf>
    <xf numFmtId="2" fontId="0" fillId="7" borderId="68" xfId="0" applyNumberFormat="1" applyFill="1" applyBorder="1" applyAlignment="1">
      <alignment horizontal="center" vertical="center"/>
    </xf>
    <xf numFmtId="187" fontId="2" fillId="7" borderId="68" xfId="0" applyNumberFormat="1" applyFont="1" applyFill="1" applyBorder="1" applyAlignment="1">
      <alignment horizontal="center" vertical="center"/>
    </xf>
    <xf numFmtId="165" fontId="0" fillId="7" borderId="69" xfId="0" applyNumberFormat="1" applyFill="1" applyBorder="1" applyAlignment="1">
      <alignment horizontal="center" vertical="center"/>
    </xf>
    <xf numFmtId="188" fontId="2" fillId="7" borderId="70" xfId="0" applyNumberFormat="1" applyFont="1" applyFill="1" applyBorder="1" applyAlignment="1">
      <alignment horizontal="center" vertical="center"/>
    </xf>
    <xf numFmtId="165" fontId="0" fillId="7" borderId="71" xfId="0" applyNumberFormat="1" applyFill="1" applyBorder="1" applyAlignment="1">
      <alignment horizontal="center" vertical="center"/>
    </xf>
    <xf numFmtId="165" fontId="0" fillId="7" borderId="70" xfId="0" applyNumberFormat="1" applyFill="1" applyBorder="1" applyAlignment="1">
      <alignment horizontal="center" vertical="center"/>
    </xf>
    <xf numFmtId="186" fontId="0" fillId="7" borderId="43" xfId="0" applyNumberFormat="1" applyFill="1" applyBorder="1" applyAlignment="1">
      <alignment horizontal="center" vertical="center"/>
    </xf>
    <xf numFmtId="165" fontId="0" fillId="7" borderId="72" xfId="0" applyNumberFormat="1" applyFill="1" applyBorder="1" applyAlignment="1">
      <alignment horizontal="center" vertical="center"/>
    </xf>
    <xf numFmtId="166" fontId="2" fillId="27" borderId="14" xfId="0" applyNumberFormat="1" applyFont="1" applyFill="1" applyBorder="1" applyAlignment="1">
      <alignment horizontal="center" vertical="center"/>
    </xf>
    <xf numFmtId="0" fontId="0" fillId="32" borderId="2" xfId="0" applyFill="1" applyBorder="1" applyAlignment="1">
      <alignment vertical="center"/>
    </xf>
    <xf numFmtId="187" fontId="0" fillId="7" borderId="73" xfId="0" applyNumberFormat="1" applyFill="1" applyBorder="1" applyAlignment="1">
      <alignment horizontal="center" vertical="center"/>
    </xf>
    <xf numFmtId="205" fontId="0" fillId="32" borderId="2" xfId="0" applyNumberFormat="1" applyFill="1" applyBorder="1" applyAlignment="1">
      <alignment horizontal="center" vertical="center"/>
    </xf>
    <xf numFmtId="206" fontId="15" fillId="0" borderId="0" xfId="2" applyNumberFormat="1" applyFont="1" applyProtection="1">
      <protection hidden="1"/>
    </xf>
    <xf numFmtId="175" fontId="2" fillId="0" borderId="0" xfId="2" applyNumberFormat="1" applyFont="1" applyProtection="1">
      <protection locked="0"/>
    </xf>
    <xf numFmtId="186" fontId="2" fillId="30" borderId="2" xfId="0" applyNumberFormat="1" applyFont="1" applyFill="1" applyBorder="1" applyAlignment="1">
      <alignment horizontal="center" vertical="center"/>
    </xf>
    <xf numFmtId="177" fontId="2" fillId="0" borderId="0" xfId="2" applyNumberFormat="1" applyFont="1"/>
    <xf numFmtId="170" fontId="2" fillId="33" borderId="25" xfId="0" applyNumberFormat="1" applyFont="1" applyFill="1" applyBorder="1" applyAlignment="1" applyProtection="1">
      <alignment horizontal="center" vertical="center"/>
      <protection locked="0"/>
    </xf>
    <xf numFmtId="165" fontId="2" fillId="5" borderId="34" xfId="2" applyNumberFormat="1" applyFont="1" applyFill="1" applyBorder="1" applyAlignment="1">
      <alignment horizontal="center"/>
    </xf>
    <xf numFmtId="178" fontId="14" fillId="5" borderId="34" xfId="2" applyNumberFormat="1" applyFont="1" applyFill="1" applyBorder="1"/>
    <xf numFmtId="179" fontId="29" fillId="5" borderId="24" xfId="2" applyNumberFormat="1" applyFont="1" applyFill="1" applyBorder="1" applyAlignment="1" applyProtection="1">
      <alignment horizontal="center" vertical="center"/>
      <protection hidden="1"/>
    </xf>
    <xf numFmtId="0" fontId="29" fillId="5" borderId="24" xfId="2" applyFont="1" applyFill="1" applyBorder="1" applyAlignment="1" applyProtection="1">
      <alignment horizontal="center" vertical="center"/>
      <protection hidden="1"/>
    </xf>
    <xf numFmtId="2" fontId="15" fillId="0" borderId="19" xfId="2" applyNumberFormat="1" applyFont="1" applyBorder="1" applyAlignment="1" applyProtection="1">
      <alignment horizontal="center"/>
      <protection hidden="1"/>
    </xf>
    <xf numFmtId="2" fontId="15" fillId="0" borderId="20" xfId="2" applyNumberFormat="1" applyFont="1" applyBorder="1" applyAlignment="1" applyProtection="1">
      <alignment horizontal="center"/>
      <protection hidden="1"/>
    </xf>
    <xf numFmtId="2" fontId="15" fillId="0" borderId="0" xfId="2" applyNumberFormat="1" applyFont="1" applyAlignment="1" applyProtection="1">
      <alignment horizontal="center"/>
      <protection hidden="1"/>
    </xf>
    <xf numFmtId="0" fontId="2" fillId="6" borderId="24" xfId="2" applyFont="1" applyFill="1" applyBorder="1" applyAlignment="1">
      <alignment vertical="center"/>
    </xf>
    <xf numFmtId="0" fontId="2" fillId="6" borderId="24" xfId="2" applyFont="1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175" fontId="2" fillId="0" borderId="0" xfId="0" applyNumberFormat="1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2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0" borderId="2" xfId="2" applyFont="1" applyFill="1" applyBorder="1" applyAlignment="1" applyProtection="1">
      <alignment horizontal="left"/>
      <protection hidden="1"/>
    </xf>
    <xf numFmtId="0" fontId="2" fillId="10" borderId="26" xfId="2" applyFont="1" applyFill="1" applyBorder="1" applyAlignment="1" applyProtection="1">
      <alignment horizontal="left"/>
      <protection hidden="1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center" vertical="center"/>
    </xf>
    <xf numFmtId="175" fontId="2" fillId="0" borderId="2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left" vertical="top"/>
    </xf>
    <xf numFmtId="0" fontId="30" fillId="6" borderId="2" xfId="2" applyFont="1" applyFill="1" applyBorder="1" applyAlignment="1">
      <alignment horizontal="center"/>
    </xf>
    <xf numFmtId="165" fontId="30" fillId="5" borderId="2" xfId="2" applyNumberFormat="1" applyFont="1" applyFill="1" applyBorder="1" applyAlignment="1">
      <alignment horizontal="center"/>
    </xf>
    <xf numFmtId="0" fontId="17" fillId="5" borderId="31" xfId="2" applyFont="1" applyFill="1" applyBorder="1" applyAlignment="1">
      <alignment horizontal="center" vertical="center"/>
    </xf>
    <xf numFmtId="0" fontId="17" fillId="5" borderId="32" xfId="2" applyFont="1" applyFill="1" applyBorder="1" applyAlignment="1">
      <alignment horizontal="center" vertical="center"/>
    </xf>
    <xf numFmtId="0" fontId="17" fillId="5" borderId="21" xfId="2" applyFont="1" applyFill="1" applyBorder="1" applyAlignment="1">
      <alignment horizontal="center" vertical="center"/>
    </xf>
    <xf numFmtId="0" fontId="17" fillId="5" borderId="23" xfId="2" applyFont="1" applyFill="1" applyBorder="1" applyAlignment="1">
      <alignment horizontal="center" vertical="center"/>
    </xf>
    <xf numFmtId="165" fontId="2" fillId="5" borderId="34" xfId="2" applyNumberFormat="1" applyFont="1" applyFill="1" applyBorder="1" applyAlignment="1">
      <alignment horizontal="center"/>
    </xf>
    <xf numFmtId="165" fontId="2" fillId="5" borderId="14" xfId="2" applyNumberFormat="1" applyFont="1" applyFill="1" applyBorder="1" applyAlignment="1">
      <alignment horizontal="center"/>
    </xf>
    <xf numFmtId="178" fontId="30" fillId="5" borderId="34" xfId="2" applyNumberFormat="1" applyFont="1" applyFill="1" applyBorder="1" applyAlignment="1">
      <alignment horizontal="center"/>
    </xf>
    <xf numFmtId="178" fontId="30" fillId="5" borderId="14" xfId="2" applyNumberFormat="1" applyFont="1" applyFill="1" applyBorder="1" applyAlignment="1">
      <alignment horizontal="center"/>
    </xf>
    <xf numFmtId="0" fontId="30" fillId="6" borderId="34" xfId="2" applyFont="1" applyFill="1" applyBorder="1" applyAlignment="1">
      <alignment horizontal="center"/>
    </xf>
    <xf numFmtId="0" fontId="30" fillId="6" borderId="14" xfId="2" applyFont="1" applyFill="1" applyBorder="1" applyAlignment="1">
      <alignment horizontal="center"/>
    </xf>
    <xf numFmtId="0" fontId="2" fillId="4" borderId="2" xfId="2" applyFont="1" applyFill="1" applyBorder="1" applyAlignment="1" applyProtection="1">
      <alignment horizontal="center"/>
      <protection locked="0"/>
    </xf>
    <xf numFmtId="0" fontId="2" fillId="4" borderId="8" xfId="2" applyFont="1" applyFill="1" applyBorder="1" applyAlignment="1" applyProtection="1">
      <alignment horizontal="center"/>
      <protection locked="0"/>
    </xf>
    <xf numFmtId="177" fontId="30" fillId="5" borderId="34" xfId="2" applyNumberFormat="1" applyFont="1" applyFill="1" applyBorder="1" applyAlignment="1" applyProtection="1">
      <alignment horizontal="center"/>
      <protection hidden="1"/>
    </xf>
    <xf numFmtId="177" fontId="30" fillId="5" borderId="14" xfId="2" applyNumberFormat="1" applyFont="1" applyFill="1" applyBorder="1" applyAlignment="1" applyProtection="1">
      <alignment horizontal="center"/>
      <protection hidden="1"/>
    </xf>
    <xf numFmtId="176" fontId="30" fillId="5" borderId="34" xfId="2" applyNumberFormat="1" applyFont="1" applyFill="1" applyBorder="1" applyAlignment="1" applyProtection="1">
      <alignment horizontal="center"/>
      <protection hidden="1"/>
    </xf>
    <xf numFmtId="176" fontId="30" fillId="5" borderId="14" xfId="2" applyNumberFormat="1" applyFont="1" applyFill="1" applyBorder="1" applyAlignment="1" applyProtection="1">
      <alignment horizontal="center"/>
      <protection hidden="1"/>
    </xf>
    <xf numFmtId="177" fontId="2" fillId="4" borderId="2" xfId="2" applyNumberFormat="1" applyFont="1" applyFill="1" applyBorder="1" applyAlignment="1" applyProtection="1">
      <alignment horizontal="center"/>
      <protection locked="0"/>
    </xf>
    <xf numFmtId="0" fontId="2" fillId="10" borderId="34" xfId="2" applyFont="1" applyFill="1" applyBorder="1" applyAlignment="1" applyProtection="1">
      <alignment horizontal="center"/>
      <protection hidden="1"/>
    </xf>
    <xf numFmtId="0" fontId="2" fillId="10" borderId="14" xfId="2" applyFont="1" applyFill="1" applyBorder="1" applyAlignment="1" applyProtection="1">
      <alignment horizontal="center"/>
      <protection hidden="1"/>
    </xf>
    <xf numFmtId="177" fontId="2" fillId="4" borderId="34" xfId="2" applyNumberFormat="1" applyFont="1" applyFill="1" applyBorder="1" applyAlignment="1" applyProtection="1">
      <alignment horizontal="center"/>
      <protection locked="0"/>
    </xf>
    <xf numFmtId="177" fontId="2" fillId="4" borderId="14" xfId="2" applyNumberFormat="1" applyFont="1" applyFill="1" applyBorder="1" applyAlignment="1" applyProtection="1">
      <alignment horizontal="center"/>
      <protection locked="0"/>
    </xf>
    <xf numFmtId="0" fontId="15" fillId="0" borderId="0" xfId="2" applyFont="1" applyAlignment="1" applyProtection="1">
      <alignment horizontal="center"/>
      <protection hidden="1"/>
    </xf>
    <xf numFmtId="0" fontId="27" fillId="6" borderId="34" xfId="2" applyFont="1" applyFill="1" applyBorder="1" applyAlignment="1" applyProtection="1">
      <alignment horizontal="center"/>
      <protection hidden="1"/>
    </xf>
    <xf numFmtId="0" fontId="27" fillId="6" borderId="14" xfId="2" applyFont="1" applyFill="1" applyBorder="1" applyAlignment="1" applyProtection="1">
      <alignment horizontal="center"/>
      <protection hidden="1"/>
    </xf>
    <xf numFmtId="0" fontId="2" fillId="10" borderId="2" xfId="2" applyFont="1" applyFill="1" applyBorder="1" applyAlignment="1" applyProtection="1">
      <alignment horizontal="center"/>
      <protection hidden="1"/>
    </xf>
    <xf numFmtId="0" fontId="2" fillId="4" borderId="21" xfId="2" applyFont="1" applyFill="1" applyBorder="1" applyAlignment="1" applyProtection="1">
      <alignment horizontal="center"/>
      <protection locked="0"/>
    </xf>
    <xf numFmtId="0" fontId="2" fillId="4" borderId="77" xfId="2" applyFont="1" applyFill="1" applyBorder="1" applyAlignment="1" applyProtection="1">
      <alignment horizontal="center"/>
      <protection locked="0"/>
    </xf>
    <xf numFmtId="0" fontId="3" fillId="19" borderId="0" xfId="2" applyFont="1" applyFill="1" applyAlignment="1">
      <alignment horizontal="center"/>
    </xf>
    <xf numFmtId="0" fontId="2" fillId="0" borderId="0" xfId="2" applyFont="1" applyAlignment="1" applyProtection="1">
      <alignment horizontal="center"/>
      <protection hidden="1"/>
    </xf>
    <xf numFmtId="178" fontId="30" fillId="5" borderId="2" xfId="2" applyNumberFormat="1" applyFont="1" applyFill="1" applyBorder="1" applyAlignment="1">
      <alignment horizontal="center"/>
    </xf>
    <xf numFmtId="0" fontId="2" fillId="10" borderId="78" xfId="2" applyFont="1" applyFill="1" applyBorder="1" applyAlignment="1" applyProtection="1">
      <alignment horizontal="center"/>
      <protection hidden="1"/>
    </xf>
    <xf numFmtId="0" fontId="2" fillId="10" borderId="79" xfId="2" applyFont="1" applyFill="1" applyBorder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/>
      <protection locked="0"/>
    </xf>
    <xf numFmtId="0" fontId="2" fillId="4" borderId="75" xfId="2" applyFont="1" applyFill="1" applyBorder="1" applyAlignment="1" applyProtection="1">
      <alignment horizontal="center"/>
      <protection locked="0"/>
    </xf>
    <xf numFmtId="0" fontId="32" fillId="4" borderId="25" xfId="2" applyFont="1" applyFill="1" applyBorder="1" applyAlignment="1" applyProtection="1">
      <alignment horizontal="center" vertical="center"/>
      <protection locked="0"/>
    </xf>
    <xf numFmtId="0" fontId="32" fillId="4" borderId="2" xfId="2" applyFont="1" applyFill="1" applyBorder="1" applyAlignment="1" applyProtection="1">
      <alignment horizontal="center" vertical="center"/>
      <protection locked="0"/>
    </xf>
    <xf numFmtId="176" fontId="30" fillId="5" borderId="34" xfId="2" applyNumberFormat="1" applyFont="1" applyFill="1" applyBorder="1" applyAlignment="1">
      <alignment horizontal="center"/>
    </xf>
    <xf numFmtId="176" fontId="30" fillId="5" borderId="14" xfId="2" applyNumberFormat="1" applyFont="1" applyFill="1" applyBorder="1" applyAlignment="1">
      <alignment horizontal="center"/>
    </xf>
    <xf numFmtId="178" fontId="31" fillId="5" borderId="34" xfId="2" applyNumberFormat="1" applyFont="1" applyFill="1" applyBorder="1" applyAlignment="1">
      <alignment horizontal="center"/>
    </xf>
    <xf numFmtId="178" fontId="31" fillId="5" borderId="14" xfId="2" applyNumberFormat="1" applyFont="1" applyFill="1" applyBorder="1" applyAlignment="1">
      <alignment horizontal="center"/>
    </xf>
    <xf numFmtId="0" fontId="39" fillId="0" borderId="0" xfId="2" applyFont="1" applyAlignment="1">
      <alignment horizontal="center"/>
    </xf>
    <xf numFmtId="0" fontId="2" fillId="6" borderId="2" xfId="2" applyFont="1" applyFill="1" applyBorder="1" applyAlignment="1" applyProtection="1">
      <alignment horizontal="center"/>
      <protection hidden="1"/>
    </xf>
    <xf numFmtId="0" fontId="2" fillId="10" borderId="80" xfId="2" applyFont="1" applyFill="1" applyBorder="1" applyAlignment="1" applyProtection="1">
      <alignment horizontal="center"/>
      <protection hidden="1"/>
    </xf>
    <xf numFmtId="0" fontId="2" fillId="10" borderId="81" xfId="2" applyFont="1" applyFill="1" applyBorder="1" applyAlignment="1" applyProtection="1">
      <alignment horizontal="center"/>
      <protection hidden="1"/>
    </xf>
    <xf numFmtId="0" fontId="39" fillId="4" borderId="25" xfId="2" applyFont="1" applyFill="1" applyBorder="1" applyAlignment="1" applyProtection="1">
      <alignment horizontal="center"/>
      <protection locked="0"/>
    </xf>
    <xf numFmtId="0" fontId="39" fillId="4" borderId="82" xfId="2" applyFont="1" applyFill="1" applyBorder="1" applyAlignment="1" applyProtection="1">
      <alignment horizontal="center"/>
      <protection locked="0"/>
    </xf>
    <xf numFmtId="165" fontId="30" fillId="5" borderId="34" xfId="2" applyNumberFormat="1" applyFont="1" applyFill="1" applyBorder="1" applyAlignment="1">
      <alignment horizontal="center"/>
    </xf>
    <xf numFmtId="165" fontId="30" fillId="5" borderId="14" xfId="2" applyNumberFormat="1" applyFont="1" applyFill="1" applyBorder="1" applyAlignment="1">
      <alignment horizontal="center"/>
    </xf>
    <xf numFmtId="0" fontId="2" fillId="10" borderId="83" xfId="2" applyFont="1" applyFill="1" applyBorder="1" applyAlignment="1" applyProtection="1">
      <alignment horizontal="center"/>
      <protection hidden="1"/>
    </xf>
    <xf numFmtId="0" fontId="2" fillId="10" borderId="84" xfId="2" applyFont="1" applyFill="1" applyBorder="1" applyAlignment="1" applyProtection="1">
      <alignment horizontal="center"/>
      <protection hidden="1"/>
    </xf>
    <xf numFmtId="0" fontId="2" fillId="0" borderId="0" xfId="2" applyFont="1" applyAlignment="1">
      <alignment horizontal="center"/>
    </xf>
    <xf numFmtId="20" fontId="2" fillId="4" borderId="34" xfId="2" applyNumberFormat="1" applyFont="1" applyFill="1" applyBorder="1" applyAlignment="1" applyProtection="1">
      <alignment horizontal="center"/>
      <protection locked="0"/>
    </xf>
    <xf numFmtId="20" fontId="2" fillId="4" borderId="75" xfId="2" applyNumberFormat="1" applyFont="1" applyFill="1" applyBorder="1" applyAlignment="1" applyProtection="1">
      <alignment horizontal="center"/>
      <protection locked="0"/>
    </xf>
    <xf numFmtId="0" fontId="39" fillId="0" borderId="76" xfId="2" applyFont="1" applyBorder="1" applyAlignment="1">
      <alignment horizontal="left"/>
    </xf>
    <xf numFmtId="0" fontId="3" fillId="20" borderId="0" xfId="0" applyFont="1" applyFill="1" applyAlignment="1">
      <alignment horizontal="center"/>
    </xf>
    <xf numFmtId="0" fontId="2" fillId="12" borderId="15" xfId="0" applyFont="1" applyFill="1" applyBorder="1" applyAlignment="1" applyProtection="1">
      <alignment horizontal="center"/>
      <protection hidden="1"/>
    </xf>
    <xf numFmtId="0" fontId="32" fillId="13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/>
      <protection hidden="1"/>
    </xf>
    <xf numFmtId="0" fontId="2" fillId="4" borderId="34" xfId="2" applyFont="1" applyFill="1" applyBorder="1" applyAlignment="1" applyProtection="1">
      <alignment horizontal="center" vertical="center"/>
      <protection locked="0"/>
    </xf>
    <xf numFmtId="0" fontId="2" fillId="4" borderId="14" xfId="2" applyFont="1" applyFill="1" applyBorder="1" applyAlignment="1" applyProtection="1">
      <alignment horizontal="center" vertical="center"/>
      <protection locked="0"/>
    </xf>
    <xf numFmtId="0" fontId="14" fillId="8" borderId="85" xfId="0" applyFont="1" applyFill="1" applyBorder="1" applyAlignment="1" applyProtection="1">
      <alignment horizontal="center" vertical="center"/>
      <protection hidden="1"/>
    </xf>
    <xf numFmtId="0" fontId="14" fillId="8" borderId="43" xfId="0" applyFont="1" applyFill="1" applyBorder="1" applyAlignment="1" applyProtection="1">
      <alignment horizontal="center" vertical="center"/>
      <protection hidden="1"/>
    </xf>
    <xf numFmtId="0" fontId="2" fillId="10" borderId="2" xfId="2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4" borderId="2" xfId="2" applyFont="1" applyFill="1" applyBorder="1" applyAlignment="1" applyProtection="1">
      <alignment horizontal="center" vertical="center"/>
      <protection locked="0"/>
    </xf>
    <xf numFmtId="0" fontId="2" fillId="12" borderId="66" xfId="0" applyFont="1" applyFill="1" applyBorder="1" applyAlignment="1" applyProtection="1">
      <alignment horizontal="center"/>
      <protection hidden="1"/>
    </xf>
    <xf numFmtId="0" fontId="2" fillId="12" borderId="86" xfId="0" applyFont="1" applyFill="1" applyBorder="1" applyAlignment="1" applyProtection="1">
      <alignment horizontal="center"/>
      <protection hidden="1"/>
    </xf>
    <xf numFmtId="0" fontId="11" fillId="8" borderId="87" xfId="0" applyFont="1" applyFill="1" applyBorder="1" applyAlignment="1" applyProtection="1">
      <alignment horizontal="center" vertical="center"/>
      <protection hidden="1"/>
    </xf>
    <xf numFmtId="0" fontId="11" fillId="8" borderId="68" xfId="0" applyFont="1" applyFill="1" applyBorder="1" applyAlignment="1" applyProtection="1">
      <alignment horizontal="center" vertical="center"/>
      <protection hidden="1"/>
    </xf>
    <xf numFmtId="0" fontId="12" fillId="8" borderId="88" xfId="0" applyFont="1" applyFill="1" applyBorder="1" applyAlignment="1" applyProtection="1">
      <alignment horizontal="center" vertical="center"/>
      <protection hidden="1"/>
    </xf>
    <xf numFmtId="0" fontId="12" fillId="8" borderId="16" xfId="0" applyFont="1" applyFill="1" applyBorder="1" applyAlignment="1" applyProtection="1">
      <alignment horizontal="center" vertical="center"/>
      <protection hidden="1"/>
    </xf>
    <xf numFmtId="0" fontId="11" fillId="8" borderId="89" xfId="0" applyFont="1" applyFill="1" applyBorder="1" applyAlignment="1" applyProtection="1">
      <alignment horizontal="center" vertical="center"/>
      <protection hidden="1"/>
    </xf>
    <xf numFmtId="0" fontId="11" fillId="8" borderId="15" xfId="0" applyFont="1" applyFill="1" applyBorder="1" applyAlignment="1" applyProtection="1">
      <alignment horizontal="center" vertical="center"/>
      <protection hidden="1"/>
    </xf>
    <xf numFmtId="0" fontId="36" fillId="8" borderId="90" xfId="0" applyFont="1" applyFill="1" applyBorder="1" applyAlignment="1" applyProtection="1">
      <alignment horizontal="center" vertical="center"/>
      <protection hidden="1"/>
    </xf>
    <xf numFmtId="0" fontId="36" fillId="8" borderId="91" xfId="0" applyFont="1" applyFill="1" applyBorder="1" applyAlignment="1" applyProtection="1">
      <alignment horizontal="center" vertical="center"/>
      <protection hidden="1"/>
    </xf>
    <xf numFmtId="0" fontId="2" fillId="13" borderId="92" xfId="0" applyFont="1" applyFill="1" applyBorder="1" applyAlignment="1" applyProtection="1">
      <alignment horizontal="center" vertical="center"/>
      <protection locked="0"/>
    </xf>
    <xf numFmtId="0" fontId="2" fillId="13" borderId="93" xfId="0" applyFont="1" applyFill="1" applyBorder="1" applyAlignment="1" applyProtection="1">
      <alignment horizontal="center" vertical="center"/>
      <protection locked="0"/>
    </xf>
    <xf numFmtId="164" fontId="2" fillId="13" borderId="46" xfId="0" applyNumberFormat="1" applyFont="1" applyFill="1" applyBorder="1" applyAlignment="1">
      <alignment horizontal="center" vertical="center"/>
    </xf>
    <xf numFmtId="168" fontId="2" fillId="13" borderId="15" xfId="0" applyNumberFormat="1" applyFont="1" applyFill="1" applyBorder="1" applyAlignment="1" applyProtection="1">
      <alignment horizontal="center" vertical="center"/>
      <protection locked="0"/>
    </xf>
    <xf numFmtId="167" fontId="2" fillId="13" borderId="15" xfId="0" applyNumberFormat="1" applyFont="1" applyFill="1" applyBorder="1" applyAlignment="1" applyProtection="1">
      <alignment horizontal="center" vertical="center"/>
      <protection locked="0"/>
    </xf>
    <xf numFmtId="0" fontId="2" fillId="13" borderId="94" xfId="0" applyFont="1" applyFill="1" applyBorder="1" applyAlignment="1">
      <alignment horizontal="center"/>
    </xf>
    <xf numFmtId="0" fontId="2" fillId="13" borderId="93" xfId="0" applyFont="1" applyFill="1" applyBorder="1" applyAlignment="1">
      <alignment horizontal="center"/>
    </xf>
    <xf numFmtId="166" fontId="2" fillId="17" borderId="46" xfId="0" applyNumberFormat="1" applyFont="1" applyFill="1" applyBorder="1" applyAlignment="1">
      <alignment horizontal="center" vertical="center"/>
    </xf>
    <xf numFmtId="0" fontId="36" fillId="8" borderId="95" xfId="0" applyFont="1" applyFill="1" applyBorder="1" applyAlignment="1" applyProtection="1">
      <alignment horizontal="center" vertical="center"/>
      <protection hidden="1"/>
    </xf>
    <xf numFmtId="0" fontId="36" fillId="8" borderId="96" xfId="0" applyFont="1" applyFill="1" applyBorder="1" applyAlignment="1" applyProtection="1">
      <alignment horizontal="center" vertical="center"/>
      <protection hidden="1"/>
    </xf>
    <xf numFmtId="0" fontId="2" fillId="8" borderId="97" xfId="0" applyFont="1" applyFill="1" applyBorder="1" applyAlignment="1" applyProtection="1">
      <alignment horizontal="center" vertical="center"/>
      <protection hidden="1"/>
    </xf>
    <xf numFmtId="0" fontId="36" fillId="8" borderId="98" xfId="0" applyFont="1" applyFill="1" applyBorder="1" applyAlignment="1" applyProtection="1">
      <alignment horizontal="center" vertical="center"/>
      <protection hidden="1"/>
    </xf>
    <xf numFmtId="0" fontId="14" fillId="8" borderId="15" xfId="0" applyFont="1" applyFill="1" applyBorder="1" applyAlignment="1" applyProtection="1">
      <alignment horizontal="center" vertical="center"/>
      <protection hidden="1"/>
    </xf>
    <xf numFmtId="0" fontId="12" fillId="8" borderId="17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30" borderId="21" xfId="0" applyFill="1" applyBorder="1" applyAlignment="1" applyProtection="1">
      <alignment horizontal="center"/>
      <protection locked="0"/>
    </xf>
    <xf numFmtId="0" fontId="0" fillId="30" borderId="23" xfId="0" applyFill="1" applyBorder="1" applyAlignment="1" applyProtection="1">
      <alignment horizontal="center"/>
      <protection locked="0"/>
    </xf>
    <xf numFmtId="0" fontId="0" fillId="30" borderId="19" xfId="0" applyFill="1" applyBorder="1" applyAlignment="1">
      <alignment horizontal="center"/>
    </xf>
    <xf numFmtId="0" fontId="0" fillId="30" borderId="20" xfId="0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0" borderId="19" xfId="0" applyFill="1" applyBorder="1" applyAlignment="1" applyProtection="1">
      <alignment horizontal="center"/>
      <protection locked="0"/>
    </xf>
    <xf numFmtId="0" fontId="0" fillId="30" borderId="20" xfId="0" applyFill="1" applyBorder="1" applyAlignment="1" applyProtection="1">
      <alignment horizontal="center"/>
      <protection locked="0"/>
    </xf>
    <xf numFmtId="0" fontId="0" fillId="0" borderId="33" xfId="0" applyBorder="1" applyAlignment="1">
      <alignment horizontal="center"/>
    </xf>
    <xf numFmtId="0" fontId="0" fillId="28" borderId="31" xfId="0" applyFill="1" applyBorder="1" applyAlignment="1">
      <alignment horizontal="center"/>
    </xf>
    <xf numFmtId="0" fontId="0" fillId="28" borderId="32" xfId="0" applyFill="1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33" xfId="0" applyBorder="1" applyAlignment="1" applyProtection="1">
      <alignment horizontal="center"/>
      <protection locked="0"/>
    </xf>
    <xf numFmtId="0" fontId="0" fillId="30" borderId="21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2" fontId="0" fillId="22" borderId="53" xfId="0" applyNumberFormat="1" applyFill="1" applyBorder="1" applyAlignment="1">
      <alignment horizontal="center"/>
    </xf>
    <xf numFmtId="2" fontId="0" fillId="22" borderId="65" xfId="0" applyNumberFormat="1" applyFill="1" applyBorder="1" applyAlignment="1">
      <alignment horizontal="center"/>
    </xf>
    <xf numFmtId="2" fontId="0" fillId="22" borderId="11" xfId="0" applyNumberFormat="1" applyFill="1" applyBorder="1" applyAlignment="1">
      <alignment horizontal="center"/>
    </xf>
    <xf numFmtId="2" fontId="0" fillId="22" borderId="54" xfId="0" applyNumberFormat="1" applyFill="1" applyBorder="1" applyAlignment="1">
      <alignment horizontal="center"/>
    </xf>
    <xf numFmtId="0" fontId="0" fillId="22" borderId="99" xfId="0" applyFill="1" applyBorder="1" applyAlignment="1">
      <alignment horizontal="center"/>
    </xf>
    <xf numFmtId="0" fontId="0" fillId="22" borderId="100" xfId="0" applyFill="1" applyBorder="1" applyAlignment="1">
      <alignment horizontal="center"/>
    </xf>
    <xf numFmtId="0" fontId="0" fillId="22" borderId="101" xfId="0" applyFill="1" applyBorder="1" applyAlignment="1">
      <alignment horizontal="center"/>
    </xf>
    <xf numFmtId="2" fontId="0" fillId="22" borderId="52" xfId="0" applyNumberFormat="1" applyFill="1" applyBorder="1" applyAlignment="1">
      <alignment horizontal="center"/>
    </xf>
    <xf numFmtId="194" fontId="2" fillId="13" borderId="46" xfId="0" applyNumberFormat="1" applyFont="1" applyFill="1" applyBorder="1" applyAlignment="1">
      <alignment horizontal="center" vertical="center"/>
    </xf>
    <xf numFmtId="195" fontId="2" fillId="17" borderId="15" xfId="0" applyNumberFormat="1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6" xfId="0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165" fontId="2" fillId="0" borderId="33" xfId="0" applyNumberFormat="1" applyFont="1" applyBorder="1" applyAlignment="1">
      <alignment horizontal="center" vertical="center"/>
    </xf>
    <xf numFmtId="165" fontId="2" fillId="0" borderId="32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2" fillId="0" borderId="22" xfId="0" applyNumberFormat="1" applyFont="1" applyBorder="1" applyAlignment="1">
      <alignment horizontal="center" vertical="center"/>
    </xf>
    <xf numFmtId="175" fontId="2" fillId="0" borderId="23" xfId="0" applyNumberFormat="1" applyFont="1" applyBorder="1" applyAlignment="1">
      <alignment horizontal="center" vertical="center"/>
    </xf>
  </cellXfs>
  <cellStyles count="3">
    <cellStyle name="Lien hypertexte" xfId="1" builtinId="8"/>
    <cellStyle name="Normal" xfId="0" builtinId="0"/>
    <cellStyle name="Normal 2" xfId="2" xr:uid="{84631061-BD5E-FA4B-A480-657850535639}"/>
  </cellStyles>
  <dxfs count="54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fgColor indexed="42"/>
          <bgColor rgb="FFFFFFCC"/>
        </patternFill>
      </fill>
    </dxf>
    <dxf>
      <fill>
        <patternFill patternType="solid">
          <fgColor indexed="31"/>
          <bgColor indexed="22"/>
        </patternFill>
      </fill>
    </dxf>
    <dxf>
      <fill>
        <patternFill patternType="solid">
          <fgColor indexed="27"/>
          <bgColor rgb="FFFFCCFF"/>
        </patternFill>
      </fill>
    </dxf>
    <dxf>
      <font>
        <color rgb="FFFF0000"/>
      </font>
    </dxf>
    <dxf>
      <font>
        <color rgb="FF808080"/>
      </font>
    </dxf>
    <dxf>
      <fill>
        <patternFill>
          <bgColor indexed="10"/>
        </patternFill>
      </fill>
    </dxf>
    <dxf>
      <fill>
        <patternFill patternType="solid">
          <fgColor indexed="53"/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color rgb="FFCCFFFF"/>
      </font>
    </dxf>
    <dxf>
      <font>
        <color rgb="FFCC6600"/>
      </font>
    </dxf>
    <dxf>
      <font>
        <color rgb="FFCC6600"/>
      </font>
    </dxf>
    <dxf>
      <fill>
        <patternFill>
          <bgColor rgb="FFFF0000"/>
        </patternFill>
      </fill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  <dxf>
      <font>
        <color rgb="FF99CCFF"/>
      </font>
    </dxf>
    <dxf>
      <fill>
        <patternFill>
          <bgColor indexed="10"/>
        </patternFill>
      </fill>
    </dxf>
    <dxf>
      <font>
        <color theme="0"/>
      </font>
      <fill>
        <patternFill>
          <bgColor theme="0"/>
        </patternFill>
      </fill>
      <border>
        <right/>
        <top/>
        <bottom/>
      </border>
    </dxf>
    <dxf>
      <font>
        <color indexed="9"/>
      </font>
      <fill>
        <patternFill patternType="solid">
          <bgColor indexed="9"/>
        </patternFill>
      </fill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ont>
        <color theme="0"/>
      </font>
      <fill>
        <patternFill patternType="solid">
          <bgColor theme="0"/>
        </patternFill>
      </fill>
      <border>
        <right/>
        <bottom/>
      </border>
    </dxf>
    <dxf>
      <fill>
        <patternFill patternType="solid">
          <fgColor indexed="60"/>
          <bgColor indexed="10"/>
        </patternFill>
      </fill>
    </dxf>
    <dxf>
      <font>
        <color rgb="FFFFFF99"/>
        <name val="Cambria"/>
        <scheme val="none"/>
      </font>
    </dxf>
    <dxf>
      <font>
        <color rgb="FFFFCC99"/>
      </font>
    </dxf>
    <dxf>
      <font>
        <color rgb="FF808080"/>
      </font>
    </dxf>
    <dxf>
      <font>
        <color theme="0"/>
      </font>
      <fill>
        <patternFill>
          <bgColor theme="0"/>
        </patternFill>
      </fill>
      <border>
        <left/>
        <right/>
        <bottom/>
      </border>
    </dxf>
    <dxf>
      <font>
        <color rgb="FFFF0000"/>
      </font>
    </dxf>
    <dxf>
      <font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rgb="FFCC6600"/>
      </font>
    </dxf>
    <dxf>
      <font>
        <color theme="1"/>
      </font>
    </dxf>
    <dxf>
      <font>
        <color rgb="FFCC6600"/>
      </font>
    </dxf>
    <dxf>
      <font>
        <color rgb="FFFF0000"/>
      </font>
    </dxf>
    <dxf>
      <font>
        <color rgb="FFCC6600"/>
      </font>
    </dxf>
    <dxf>
      <font>
        <color theme="0"/>
      </font>
      <fill>
        <patternFill patternType="none">
          <bgColor indexed="65"/>
        </patternFill>
      </fill>
      <border>
        <left/>
        <right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3CAFF"/>
      <rgbColor rgb="00993366"/>
      <rgbColor rgb="00E6E6E6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970566137003713E-2"/>
          <c:y val="6.4690026954178165E-2"/>
          <c:w val="0.84871001627006726"/>
          <c:h val="0.90566037735849292"/>
        </c:manualLayout>
      </c:layout>
      <c:scatterChart>
        <c:scatterStyle val="lineMarker"/>
        <c:varyColors val="0"/>
        <c:ser>
          <c:idx val="0"/>
          <c:order val="0"/>
          <c:tx>
            <c:v>fuselage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Stabilito!$D$124:$D$131</c:f>
              <c:numCache>
                <c:formatCode>0</c:formatCode>
                <c:ptCount val="8"/>
                <c:pt idx="0">
                  <c:v>0</c:v>
                </c:pt>
                <c:pt idx="1">
                  <c:v>42</c:v>
                </c:pt>
                <c:pt idx="2">
                  <c:v>42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-1035</c:v>
                </c:pt>
                <c:pt idx="3">
                  <c:v>-1110</c:v>
                </c:pt>
                <c:pt idx="4">
                  <c:v>-1942</c:v>
                </c:pt>
                <c:pt idx="5">
                  <c:v>-1992</c:v>
                </c:pt>
                <c:pt idx="6">
                  <c:v>-1992</c:v>
                </c:pt>
                <c:pt idx="7">
                  <c:v>-1992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E-8D4F-A848-A4470DE867AA}"/>
            </c:ext>
          </c:extLst>
        </c:ser>
        <c:ser>
          <c:idx val="1"/>
          <c:order val="1"/>
          <c:tx>
            <c:v>aileron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Stabilito!$D$132:$D$136</c:f>
              <c:numCache>
                <c:formatCode>0</c:formatCode>
                <c:ptCount val="5"/>
                <c:pt idx="0">
                  <c:v>52</c:v>
                </c:pt>
                <c:pt idx="1">
                  <c:v>182</c:v>
                </c:pt>
                <c:pt idx="2">
                  <c:v>182</c:v>
                </c:pt>
                <c:pt idx="3">
                  <c:v>52</c:v>
                </c:pt>
                <c:pt idx="4">
                  <c:v>52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-1782</c:v>
                </c:pt>
                <c:pt idx="1">
                  <c:v>-1912</c:v>
                </c:pt>
                <c:pt idx="2">
                  <c:v>-2032</c:v>
                </c:pt>
                <c:pt idx="3">
                  <c:v>-1972</c:v>
                </c:pt>
                <c:pt idx="4">
                  <c:v>-1782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E-8D4F-A848-A4470DE867AA}"/>
            </c:ext>
          </c:extLst>
        </c:ser>
        <c:ser>
          <c:idx val="2"/>
          <c:order val="2"/>
          <c:tx>
            <c:v>fuselage2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Stabilito!$E$124:$E$131</c:f>
              <c:numCache>
                <c:formatCode>0</c:formatCode>
                <c:ptCount val="8"/>
                <c:pt idx="0">
                  <c:v>0</c:v>
                </c:pt>
                <c:pt idx="1">
                  <c:v>-42</c:v>
                </c:pt>
                <c:pt idx="2">
                  <c:v>-42</c:v>
                </c:pt>
                <c:pt idx="3">
                  <c:v>-52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0</c:v>
                </c:pt>
              </c:numCache>
            </c:numRef>
          </c:xVal>
          <c:yVal>
            <c:numRef>
              <c:f>Stabilito!$C$124:$C$131</c:f>
              <c:numCache>
                <c:formatCode>0</c:formatCode>
                <c:ptCount val="8"/>
                <c:pt idx="0">
                  <c:v>-275</c:v>
                </c:pt>
                <c:pt idx="1">
                  <c:v>-275</c:v>
                </c:pt>
                <c:pt idx="2">
                  <c:v>-1035</c:v>
                </c:pt>
                <c:pt idx="3">
                  <c:v>-1110</c:v>
                </c:pt>
                <c:pt idx="4">
                  <c:v>-1942</c:v>
                </c:pt>
                <c:pt idx="5">
                  <c:v>-1992</c:v>
                </c:pt>
                <c:pt idx="6">
                  <c:v>-1992</c:v>
                </c:pt>
                <c:pt idx="7">
                  <c:v>-1992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E-8D4F-A848-A4470DE867AA}"/>
            </c:ext>
          </c:extLst>
        </c:ser>
        <c:ser>
          <c:idx val="3"/>
          <c:order val="3"/>
          <c:tx>
            <c:v>aileron2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Stabilito!$E$132:$E$136</c:f>
              <c:numCache>
                <c:formatCode>0</c:formatCode>
                <c:ptCount val="5"/>
                <c:pt idx="0">
                  <c:v>-52</c:v>
                </c:pt>
                <c:pt idx="1">
                  <c:v>-182</c:v>
                </c:pt>
                <c:pt idx="2">
                  <c:v>-182</c:v>
                </c:pt>
                <c:pt idx="3">
                  <c:v>-52</c:v>
                </c:pt>
                <c:pt idx="4">
                  <c:v>-52</c:v>
                </c:pt>
              </c:numCache>
            </c:numRef>
          </c:xVal>
          <c:yVal>
            <c:numRef>
              <c:f>Stabilito!$C$132:$C$136</c:f>
              <c:numCache>
                <c:formatCode>0</c:formatCode>
                <c:ptCount val="5"/>
                <c:pt idx="0">
                  <c:v>-1782</c:v>
                </c:pt>
                <c:pt idx="1">
                  <c:v>-1912</c:v>
                </c:pt>
                <c:pt idx="2">
                  <c:v>-2032</c:v>
                </c:pt>
                <c:pt idx="3">
                  <c:v>-1972</c:v>
                </c:pt>
                <c:pt idx="4">
                  <c:v>-1782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5E-8D4F-A848-A4470DE867AA}"/>
            </c:ext>
          </c:extLst>
        </c:ser>
        <c:ser>
          <c:idx val="4"/>
          <c:order val="4"/>
          <c:tx>
            <c:strRef>
              <c:f>Stabilito!$B$12</c:f>
              <c:strCache>
                <c:ptCount val="1"/>
                <c:pt idx="0">
                  <c:v>Centre de Masse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Stabilito!$D$149:$D$150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Stabilito!$C$149:$C$150</c:f>
              <c:numCache>
                <c:formatCode>0</c:formatCode>
                <c:ptCount val="2"/>
                <c:pt idx="0">
                  <c:v>-1149.206106870229</c:v>
                </c:pt>
                <c:pt idx="1">
                  <c:v>-1064.8340016038492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5E-8D4F-A848-A4470DE867AA}"/>
            </c:ext>
          </c:extLst>
        </c:ser>
        <c:ser>
          <c:idx val="5"/>
          <c:order val="5"/>
          <c:tx>
            <c:strRef>
              <c:f>Stabilito!$F$28</c:f>
              <c:strCache>
                <c:ptCount val="1"/>
                <c:pt idx="0">
                  <c:v>Portance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Stabilito!$D$151:$D$154</c:f>
              <c:numCache>
                <c:formatCode>0</c:formatCode>
                <c:ptCount val="4"/>
                <c:pt idx="0">
                  <c:v>0</c:v>
                </c:pt>
                <c:pt idx="1">
                  <c:v>137.13545582801743</c:v>
                </c:pt>
                <c:pt idx="2">
                  <c:v>167.64720232260288</c:v>
                </c:pt>
                <c:pt idx="3">
                  <c:v>0</c:v>
                </c:pt>
              </c:numCache>
            </c:numRef>
          </c:xVal>
          <c:yVal>
            <c:numRef>
              <c:f>Stabilito!$C$151:$C$154</c:f>
              <c:numCache>
                <c:formatCode>0</c:formatCode>
                <c:ptCount val="4"/>
                <c:pt idx="0">
                  <c:v>-1323.1177262829949</c:v>
                </c:pt>
                <c:pt idx="1">
                  <c:v>-1323.1177262829949</c:v>
                </c:pt>
                <c:pt idx="2">
                  <c:v>-1422.7207827524956</c:v>
                </c:pt>
                <c:pt idx="3">
                  <c:v>-1422.7207827524956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5E-8D4F-A848-A4470DE867AA}"/>
            </c:ext>
          </c:extLst>
        </c:ser>
        <c:ser>
          <c:idx val="6"/>
          <c:order val="6"/>
          <c:tx>
            <c:v>canard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Stabilito!$D$158:$D$162</c:f>
              <c:numCache>
                <c:formatCode>0</c:formatCode>
                <c:ptCount val="5"/>
                <c:pt idx="0">
                  <c:v>52</c:v>
                </c:pt>
                <c:pt idx="1">
                  <c:v>162</c:v>
                </c:pt>
                <c:pt idx="2">
                  <c:v>162</c:v>
                </c:pt>
                <c:pt idx="3">
                  <c:v>52</c:v>
                </c:pt>
                <c:pt idx="4">
                  <c:v>52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-865</c:v>
                </c:pt>
                <c:pt idx="1">
                  <c:v>-1005</c:v>
                </c:pt>
                <c:pt idx="2">
                  <c:v>-1085</c:v>
                </c:pt>
                <c:pt idx="3">
                  <c:v>-1035</c:v>
                </c:pt>
                <c:pt idx="4">
                  <c:v>-865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5E-8D4F-A848-A4470DE867AA}"/>
            </c:ext>
          </c:extLst>
        </c:ser>
        <c:ser>
          <c:idx val="7"/>
          <c:order val="7"/>
          <c:tx>
            <c:v>canard2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Stabilito!$E$158:$E$162</c:f>
              <c:numCache>
                <c:formatCode>0</c:formatCode>
                <c:ptCount val="5"/>
                <c:pt idx="0">
                  <c:v>-52</c:v>
                </c:pt>
                <c:pt idx="1">
                  <c:v>-162</c:v>
                </c:pt>
                <c:pt idx="2">
                  <c:v>-162</c:v>
                </c:pt>
                <c:pt idx="3">
                  <c:v>-52</c:v>
                </c:pt>
                <c:pt idx="4">
                  <c:v>-52</c:v>
                </c:pt>
              </c:numCache>
            </c:numRef>
          </c:xVal>
          <c:yVal>
            <c:numRef>
              <c:f>Stabilito!$C$158:$C$162</c:f>
              <c:numCache>
                <c:formatCode>0</c:formatCode>
                <c:ptCount val="5"/>
                <c:pt idx="0">
                  <c:v>-865</c:v>
                </c:pt>
                <c:pt idx="1">
                  <c:v>-1005</c:v>
                </c:pt>
                <c:pt idx="2">
                  <c:v>-1085</c:v>
                </c:pt>
                <c:pt idx="3">
                  <c:v>-1035</c:v>
                </c:pt>
                <c:pt idx="4">
                  <c:v>-865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5E-8D4F-A848-A4470DE867AA}"/>
            </c:ext>
          </c:extLst>
        </c:ser>
        <c:ser>
          <c:idx val="8"/>
          <c:order val="8"/>
          <c:tx>
            <c:v>masquage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Stabilito!$D$163:$D$167</c:f>
              <c:numCache>
                <c:formatCode>0</c:formatCode>
                <c:ptCount val="5"/>
                <c:pt idx="0">
                  <c:v>52</c:v>
                </c:pt>
                <c:pt idx="1">
                  <c:v>152</c:v>
                </c:pt>
                <c:pt idx="2">
                  <c:v>152</c:v>
                </c:pt>
                <c:pt idx="3">
                  <c:v>52</c:v>
                </c:pt>
                <c:pt idx="4">
                  <c:v>52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-1782</c:v>
                </c:pt>
                <c:pt idx="1">
                  <c:v>-1882</c:v>
                </c:pt>
                <c:pt idx="2">
                  <c:v>-2018.1538461538462</c:v>
                </c:pt>
                <c:pt idx="3">
                  <c:v>-1972</c:v>
                </c:pt>
                <c:pt idx="4">
                  <c:v>-1782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C5E-8D4F-A848-A4470DE867AA}"/>
            </c:ext>
          </c:extLst>
        </c:ser>
        <c:ser>
          <c:idx val="9"/>
          <c:order val="9"/>
          <c:tx>
            <c:v>masquage2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Stabilito!$E$163:$E$167</c:f>
              <c:numCache>
                <c:formatCode>0</c:formatCode>
                <c:ptCount val="5"/>
                <c:pt idx="0">
                  <c:v>-52</c:v>
                </c:pt>
                <c:pt idx="1">
                  <c:v>-152</c:v>
                </c:pt>
                <c:pt idx="2">
                  <c:v>-152</c:v>
                </c:pt>
                <c:pt idx="3">
                  <c:v>-52</c:v>
                </c:pt>
                <c:pt idx="4">
                  <c:v>-52</c:v>
                </c:pt>
              </c:numCache>
            </c:numRef>
          </c:xVal>
          <c:yVal>
            <c:numRef>
              <c:f>Stabilito!$C$163:$C$167</c:f>
              <c:numCache>
                <c:formatCode>0</c:formatCode>
                <c:ptCount val="5"/>
                <c:pt idx="0">
                  <c:v>-1782</c:v>
                </c:pt>
                <c:pt idx="1">
                  <c:v>-1882</c:v>
                </c:pt>
                <c:pt idx="2">
                  <c:v>-2018.1538461538462</c:v>
                </c:pt>
                <c:pt idx="3">
                  <c:v>-1972</c:v>
                </c:pt>
                <c:pt idx="4">
                  <c:v>-1782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C5E-8D4F-A848-A4470DE867AA}"/>
            </c:ext>
          </c:extLst>
        </c:ser>
        <c:ser>
          <c:idx val="10"/>
          <c:order val="10"/>
          <c:tx>
            <c:v>cadre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Stabilito!$D$168:$D$169</c:f>
              <c:numCache>
                <c:formatCode>0</c:formatCode>
                <c:ptCount val="2"/>
                <c:pt idx="0">
                  <c:v>664</c:v>
                </c:pt>
                <c:pt idx="1">
                  <c:v>-664</c:v>
                </c:pt>
              </c:numCache>
            </c:numRef>
          </c:xVal>
          <c:yVal>
            <c:numRef>
              <c:f>Stabilito!$C$168:$C$169</c:f>
              <c:numCache>
                <c:formatCode>0</c:formatCode>
                <c:ptCount val="2"/>
                <c:pt idx="0">
                  <c:v>-2052.3200000000002</c:v>
                </c:pt>
                <c:pt idx="1">
                  <c:v>-2052.3200000000002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C5E-8D4F-A848-A4470DE867AA}"/>
            </c:ext>
          </c:extLst>
        </c:ser>
        <c:ser>
          <c:idx val="11"/>
          <c:order val="11"/>
          <c:tx>
            <c:v>Propu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Stabilito!$D$170:$D$174</c:f>
              <c:numCache>
                <c:formatCode>0</c:formatCode>
                <c:ptCount val="5"/>
                <c:pt idx="0">
                  <c:v>-27</c:v>
                </c:pt>
                <c:pt idx="1">
                  <c:v>27</c:v>
                </c:pt>
                <c:pt idx="2">
                  <c:v>27</c:v>
                </c:pt>
                <c:pt idx="3">
                  <c:v>-27</c:v>
                </c:pt>
                <c:pt idx="4">
                  <c:v>-27</c:v>
                </c:pt>
              </c:numCache>
            </c:numRef>
          </c:xVal>
          <c:yVal>
            <c:numRef>
              <c:f>Stabilito!$C$170:$C$174</c:f>
              <c:numCache>
                <c:formatCode>0</c:formatCode>
                <c:ptCount val="5"/>
                <c:pt idx="0">
                  <c:v>-1504</c:v>
                </c:pt>
                <c:pt idx="1">
                  <c:v>-1504</c:v>
                </c:pt>
                <c:pt idx="2">
                  <c:v>-1992</c:v>
                </c:pt>
                <c:pt idx="3">
                  <c:v>-1992</c:v>
                </c:pt>
                <c:pt idx="4">
                  <c:v>-1504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C5E-8D4F-A848-A4470DE867AA}"/>
            </c:ext>
          </c:extLst>
        </c:ser>
        <c:ser>
          <c:idx val="12"/>
          <c:order val="12"/>
          <c:tx>
            <c:v>Cone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Stabilito!$D$175:$D$180</c:f>
              <c:numCache>
                <c:formatCode>0</c:formatCode>
                <c:ptCount val="6"/>
                <c:pt idx="0">
                  <c:v>0</c:v>
                </c:pt>
                <c:pt idx="1">
                  <c:v>4.2</c:v>
                </c:pt>
                <c:pt idx="2">
                  <c:v>10.5</c:v>
                </c:pt>
                <c:pt idx="3">
                  <c:v>21</c:v>
                </c:pt>
                <c:pt idx="4">
                  <c:v>31.5</c:v>
                </c:pt>
                <c:pt idx="5">
                  <c:v>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C5E-8D4F-A848-A4470DE867AA}"/>
            </c:ext>
          </c:extLst>
        </c:ser>
        <c:ser>
          <c:idx val="13"/>
          <c:order val="13"/>
          <c:tx>
            <c:v>Cone1</c:v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Stabilito!$E$175:$E$180</c:f>
              <c:numCache>
                <c:formatCode>0</c:formatCode>
                <c:ptCount val="6"/>
                <c:pt idx="0">
                  <c:v>0</c:v>
                </c:pt>
                <c:pt idx="1">
                  <c:v>-4.2</c:v>
                </c:pt>
                <c:pt idx="2">
                  <c:v>-10.5</c:v>
                </c:pt>
                <c:pt idx="3">
                  <c:v>-21</c:v>
                </c:pt>
                <c:pt idx="4">
                  <c:v>-31.5</c:v>
                </c:pt>
                <c:pt idx="5">
                  <c:v>-42</c:v>
                </c:pt>
              </c:numCache>
            </c:numRef>
          </c:xVal>
          <c:yVal>
            <c:numRef>
              <c:f>Stabilito!$C$175:$C$180</c:f>
              <c:numCache>
                <c:formatCode>0</c:formatCode>
                <c:ptCount val="6"/>
                <c:pt idx="0">
                  <c:v>0</c:v>
                </c:pt>
                <c:pt idx="1">
                  <c:v>-27.5</c:v>
                </c:pt>
                <c:pt idx="2">
                  <c:v>-68.75</c:v>
                </c:pt>
                <c:pt idx="3">
                  <c:v>-137.5</c:v>
                </c:pt>
                <c:pt idx="4">
                  <c:v>-206.25</c:v>
                </c:pt>
                <c:pt idx="5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C5E-8D4F-A848-A4470DE867AA}"/>
            </c:ext>
          </c:extLst>
        </c:ser>
        <c:ser>
          <c:idx val="14"/>
          <c:order val="14"/>
          <c:tx>
            <c:strRef>
              <c:f>Stabilito!$B$137</c:f>
              <c:strCache>
                <c:ptCount val="1"/>
                <c:pt idx="0">
                  <c:v>Envergure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Stabilito!$D$137:$D$139</c:f>
              <c:numCache>
                <c:formatCode>0</c:formatCode>
                <c:ptCount val="3"/>
                <c:pt idx="0">
                  <c:v>-182</c:v>
                </c:pt>
                <c:pt idx="1">
                  <c:v>-117</c:v>
                </c:pt>
                <c:pt idx="2">
                  <c:v>-52</c:v>
                </c:pt>
              </c:numCache>
            </c:numRef>
          </c:xVal>
          <c:yVal>
            <c:numRef>
              <c:f>Stabilito!$C$137:$C$139</c:f>
              <c:numCache>
                <c:formatCode>0</c:formatCode>
                <c:ptCount val="3"/>
                <c:pt idx="0">
                  <c:v>-2098.4</c:v>
                </c:pt>
                <c:pt idx="1">
                  <c:v>-2098.4</c:v>
                </c:pt>
                <c:pt idx="2">
                  <c:v>-2098.4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C5E-8D4F-A848-A4470DE867AA}"/>
            </c:ext>
          </c:extLst>
        </c:ser>
        <c:ser>
          <c:idx val="15"/>
          <c:order val="15"/>
          <c:tx>
            <c:strRef>
              <c:f>Stabilito!$B$143</c:f>
              <c:strCache>
                <c:ptCount val="1"/>
                <c:pt idx="0">
                  <c:v>Flèche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Stabilito!$D$143:$D$145</c:f>
              <c:numCache>
                <c:formatCode>0</c:formatCode>
                <c:ptCount val="3"/>
                <c:pt idx="0">
                  <c:v>-248.4</c:v>
                </c:pt>
                <c:pt idx="1">
                  <c:v>-248.4</c:v>
                </c:pt>
                <c:pt idx="2">
                  <c:v>-248.4</c:v>
                </c:pt>
              </c:numCache>
            </c:numRef>
          </c:xVal>
          <c:yVal>
            <c:numRef>
              <c:f>Stabilito!$C$143:$C$145</c:f>
              <c:numCache>
                <c:formatCode>0</c:formatCode>
                <c:ptCount val="3"/>
                <c:pt idx="0">
                  <c:v>-1782</c:v>
                </c:pt>
                <c:pt idx="1">
                  <c:v>-1847</c:v>
                </c:pt>
                <c:pt idx="2">
                  <c:v>-1912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C5E-8D4F-A848-A4470DE867AA}"/>
            </c:ext>
          </c:extLst>
        </c:ser>
        <c:ser>
          <c:idx val="16"/>
          <c:order val="16"/>
          <c:tx>
            <c:strRef>
              <c:f>Stabilito!$B$146</c:f>
              <c:strCache>
                <c:ptCount val="1"/>
                <c:pt idx="0">
                  <c:v>Saumon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Stabilito!$D$146:$D$148</c:f>
              <c:numCache>
                <c:formatCode>0</c:formatCode>
                <c:ptCount val="3"/>
                <c:pt idx="0">
                  <c:v>-281.60000000000002</c:v>
                </c:pt>
                <c:pt idx="1">
                  <c:v>-281.60000000000002</c:v>
                </c:pt>
                <c:pt idx="2">
                  <c:v>-281.60000000000002</c:v>
                </c:pt>
              </c:numCache>
            </c:numRef>
          </c:xVal>
          <c:yVal>
            <c:numRef>
              <c:f>Stabilito!$C$146:$C$148</c:f>
              <c:numCache>
                <c:formatCode>0</c:formatCode>
                <c:ptCount val="3"/>
                <c:pt idx="0">
                  <c:v>-1912</c:v>
                </c:pt>
                <c:pt idx="1">
                  <c:v>-1972</c:v>
                </c:pt>
                <c:pt idx="2">
                  <c:v>-2032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C5E-8D4F-A848-A4470DE867AA}"/>
            </c:ext>
          </c:extLst>
        </c:ser>
        <c:ser>
          <c:idx val="17"/>
          <c:order val="17"/>
          <c:tx>
            <c:strRef>
              <c:f>Stabilito!$B$140</c:f>
              <c:strCache>
                <c:ptCount val="1"/>
                <c:pt idx="0">
                  <c:v>Emplanture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Stabilito!$D$140:$D$142</c:f>
              <c:numCache>
                <c:formatCode>0</c:formatCode>
                <c:ptCount val="3"/>
                <c:pt idx="0">
                  <c:v>281.60000000000002</c:v>
                </c:pt>
                <c:pt idx="1">
                  <c:v>281.60000000000002</c:v>
                </c:pt>
                <c:pt idx="2">
                  <c:v>281.60000000000002</c:v>
                </c:pt>
              </c:numCache>
            </c:numRef>
          </c:xVal>
          <c:yVal>
            <c:numRef>
              <c:f>Stabilito!$C$140:$C$142</c:f>
              <c:numCache>
                <c:formatCode>0</c:formatCode>
                <c:ptCount val="3"/>
                <c:pt idx="0">
                  <c:v>-1782</c:v>
                </c:pt>
                <c:pt idx="1">
                  <c:v>-1877</c:v>
                </c:pt>
                <c:pt idx="2">
                  <c:v>-1972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C5E-8D4F-A848-A4470DE867AA}"/>
            </c:ext>
          </c:extLst>
        </c:ser>
        <c:ser>
          <c:idx val="18"/>
          <c:order val="18"/>
          <c:tx>
            <c:strRef>
              <c:f>Stabilito!$B$155</c:f>
              <c:strCache>
                <c:ptCount val="1"/>
                <c:pt idx="0">
                  <c:v>Marge Statique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C5E-8D4F-A848-A4470DE867A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Stabilito!$D$155:$D$157</c:f>
              <c:numCache>
                <c:formatCode>0</c:formatCode>
                <c:ptCount val="3"/>
                <c:pt idx="0">
                  <c:v>-281.60000000000002</c:v>
                </c:pt>
                <c:pt idx="1">
                  <c:v>-281.60000000000002</c:v>
                </c:pt>
                <c:pt idx="2">
                  <c:v>-281.60000000000002</c:v>
                </c:pt>
              </c:numCache>
            </c:numRef>
          </c:xVal>
          <c:yVal>
            <c:numRef>
              <c:f>Stabilito!$C$155:$C$157</c:f>
              <c:numCache>
                <c:formatCode>0</c:formatCode>
                <c:ptCount val="3"/>
                <c:pt idx="0">
                  <c:v>-1107.0200542370389</c:v>
                </c:pt>
                <c:pt idx="1">
                  <c:v>-1215.0688902600168</c:v>
                </c:pt>
                <c:pt idx="2">
                  <c:v>-1323.1177262829949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C5E-8D4F-A848-A4470DE86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155984"/>
        <c:axId val="1"/>
      </c:scatterChart>
      <c:valAx>
        <c:axId val="1806155984"/>
        <c:scaling>
          <c:orientation val="minMax"/>
        </c:scaling>
        <c:delete val="0"/>
        <c:axPos val="t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max"/>
        <c:crossBetween val="midCat"/>
      </c:valAx>
      <c:valAx>
        <c:axId val="1"/>
        <c:scaling>
          <c:orientation val="minMax"/>
          <c:max val="0"/>
          <c:min val="-2100"/>
        </c:scaling>
        <c:delete val="0"/>
        <c:axPos val="r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155984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Abaco!$B$75</c:f>
          <c:strCache>
            <c:ptCount val="1"/>
            <c:pt idx="0">
              <c:v>Vitesse max / Masse totale</c:v>
            </c:pt>
          </c:strCache>
        </c:strRef>
      </c:tx>
      <c:layout>
        <c:manualLayout>
          <c:xMode val="edge"/>
          <c:yMode val="edge"/>
          <c:x val="0.32580555555555557"/>
          <c:y val="3.2407484861159096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54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3.3925000000000001</c:v>
                </c:pt>
                <c:pt idx="2">
                  <c:v>5.0999999999999996</c:v>
                </c:pt>
                <c:pt idx="3">
                  <c:v>6.807500000000001</c:v>
                </c:pt>
                <c:pt idx="4">
                  <c:v>8.5150000000000006</c:v>
                </c:pt>
                <c:pt idx="5">
                  <c:v>10.2225</c:v>
                </c:pt>
                <c:pt idx="6">
                  <c:v>11.930000000000001</c:v>
                </c:pt>
                <c:pt idx="7">
                  <c:v>13.637500000000001</c:v>
                </c:pt>
                <c:pt idx="8">
                  <c:v>15.345000000000001</c:v>
                </c:pt>
              </c:numCache>
            </c:numRef>
          </c:xVal>
          <c:yVal>
            <c:numRef>
              <c:f>Abaco!$K$41:$K$49</c:f>
              <c:numCache>
                <c:formatCode>General" m/s"</c:formatCode>
                <c:ptCount val="9"/>
                <c:pt idx="0">
                  <c:v>858.03255877092988</c:v>
                </c:pt>
                <c:pt idx="1">
                  <c:v>571.29843505233191</c:v>
                </c:pt>
                <c:pt idx="2">
                  <c:v>385.1116932414663</c:v>
                </c:pt>
                <c:pt idx="3">
                  <c:v>281.10895788261774</c:v>
                </c:pt>
                <c:pt idx="4">
                  <c:v>217.08994287264608</c:v>
                </c:pt>
                <c:pt idx="5">
                  <c:v>174.19806333172252</c:v>
                </c:pt>
                <c:pt idx="6">
                  <c:v>143.59804861847175</c:v>
                </c:pt>
                <c:pt idx="7">
                  <c:v>120.72009481607182</c:v>
                </c:pt>
                <c:pt idx="8">
                  <c:v>102.99065988223832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A-1547-920C-707F56EFF605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104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3.3925000000000001</c:v>
                </c:pt>
                <c:pt idx="2">
                  <c:v>5.0999999999999996</c:v>
                </c:pt>
                <c:pt idx="3">
                  <c:v>6.807500000000001</c:v>
                </c:pt>
                <c:pt idx="4">
                  <c:v>8.5150000000000006</c:v>
                </c:pt>
                <c:pt idx="5">
                  <c:v>10.2225</c:v>
                </c:pt>
                <c:pt idx="6">
                  <c:v>11.930000000000001</c:v>
                </c:pt>
                <c:pt idx="7">
                  <c:v>13.637500000000001</c:v>
                </c:pt>
                <c:pt idx="8">
                  <c:v>15.345000000000001</c:v>
                </c:pt>
              </c:numCache>
            </c:numRef>
          </c:xVal>
          <c:yVal>
            <c:numRef>
              <c:f>Abaco!$K$50:$K$58</c:f>
              <c:numCache>
                <c:formatCode>General" m/s"</c:formatCode>
                <c:ptCount val="9"/>
                <c:pt idx="0">
                  <c:v>464.1915134373819</c:v>
                </c:pt>
                <c:pt idx="1">
                  <c:v>413.21748392141075</c:v>
                </c:pt>
                <c:pt idx="2">
                  <c:v>326.78582043084077</c:v>
                </c:pt>
                <c:pt idx="3">
                  <c:v>256.01103962827261</c:v>
                </c:pt>
                <c:pt idx="4">
                  <c:v>204.72543312927166</c:v>
                </c:pt>
                <c:pt idx="5">
                  <c:v>167.46072769890898</c:v>
                </c:pt>
                <c:pt idx="6">
                  <c:v>139.64275221165087</c:v>
                </c:pt>
                <c:pt idx="7">
                  <c:v>118.26389393621177</c:v>
                </c:pt>
                <c:pt idx="8">
                  <c:v>101.3980580883605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A-1547-920C-707F56EFF605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156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3.3925000000000001</c:v>
                </c:pt>
                <c:pt idx="2">
                  <c:v>5.0999999999999996</c:v>
                </c:pt>
                <c:pt idx="3">
                  <c:v>6.807500000000001</c:v>
                </c:pt>
                <c:pt idx="4">
                  <c:v>8.5150000000000006</c:v>
                </c:pt>
                <c:pt idx="5">
                  <c:v>10.2225</c:v>
                </c:pt>
                <c:pt idx="6">
                  <c:v>11.930000000000001</c:v>
                </c:pt>
                <c:pt idx="7">
                  <c:v>13.637500000000001</c:v>
                </c:pt>
                <c:pt idx="8">
                  <c:v>15.345000000000001</c:v>
                </c:pt>
              </c:numCache>
            </c:numRef>
          </c:xVal>
          <c:yVal>
            <c:numRef>
              <c:f>Abaco!$K$59:$K$67</c:f>
              <c:numCache>
                <c:formatCode>General" m/s"</c:formatCode>
                <c:ptCount val="9"/>
                <c:pt idx="0">
                  <c:v>309.81969976525187</c:v>
                </c:pt>
                <c:pt idx="1">
                  <c:v>298.19676042653987</c:v>
                </c:pt>
                <c:pt idx="2">
                  <c:v>264.51238084276332</c:v>
                </c:pt>
                <c:pt idx="3">
                  <c:v>223.60718174525005</c:v>
                </c:pt>
                <c:pt idx="4">
                  <c:v>187.07658598290263</c:v>
                </c:pt>
                <c:pt idx="5">
                  <c:v>157.27495002305949</c:v>
                </c:pt>
                <c:pt idx="6">
                  <c:v>133.44792896082555</c:v>
                </c:pt>
                <c:pt idx="7">
                  <c:v>114.3275091427704</c:v>
                </c:pt>
                <c:pt idx="8">
                  <c:v>98.805413023124927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A-1547-920C-707F56EFF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15968"/>
        <c:axId val="1"/>
      </c:scatterChart>
      <c:valAx>
        <c:axId val="1764915968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35"/>
              <c:y val="0.80923605680929611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Abaco!$B$74</c:f>
              <c:strCache>
                <c:ptCount val="1"/>
                <c:pt idx="0">
                  <c:v>Vitesse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22378207343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/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15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79253351905304"/>
          <c:y val="0.19266706401523412"/>
          <c:w val="0.19231382461027713"/>
          <c:h val="0.24771479659101528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Abaco!$B$77</c:f>
          <c:strCache>
            <c:ptCount val="1"/>
            <c:pt idx="0">
              <c:v>Altitude max / Masse totale</c:v>
            </c:pt>
          </c:strCache>
        </c:strRef>
      </c:tx>
      <c:layout>
        <c:manualLayout>
          <c:xMode val="edge"/>
          <c:yMode val="edge"/>
          <c:x val="0.32580555555555557"/>
          <c:y val="3.2407517456544348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54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3.3925000000000001</c:v>
                </c:pt>
                <c:pt idx="2">
                  <c:v>5.0999999999999996</c:v>
                </c:pt>
                <c:pt idx="3">
                  <c:v>6.807500000000001</c:v>
                </c:pt>
                <c:pt idx="4">
                  <c:v>8.5150000000000006</c:v>
                </c:pt>
                <c:pt idx="5">
                  <c:v>10.2225</c:v>
                </c:pt>
                <c:pt idx="6">
                  <c:v>11.930000000000001</c:v>
                </c:pt>
                <c:pt idx="7">
                  <c:v>13.637500000000001</c:v>
                </c:pt>
                <c:pt idx="8">
                  <c:v>15.345000000000001</c:v>
                </c:pt>
              </c:numCache>
            </c:numRef>
          </c:xVal>
          <c:yVal>
            <c:numRef>
              <c:f>Abaco!$L$41:$L$49</c:f>
              <c:numCache>
                <c:formatCode>General" m"</c:formatCode>
                <c:ptCount val="9"/>
                <c:pt idx="0">
                  <c:v>4140.0163847444119</c:v>
                </c:pt>
                <c:pt idx="1">
                  <c:v>5132.9662367950223</c:v>
                </c:pt>
                <c:pt idx="2">
                  <c:v>4435.962287426506</c:v>
                </c:pt>
                <c:pt idx="3">
                  <c:v>3322.8668868540826</c:v>
                </c:pt>
                <c:pt idx="4">
                  <c:v>2377.2616755373183</c:v>
                </c:pt>
                <c:pt idx="5">
                  <c:v>1703.567332157992</c:v>
                </c:pt>
                <c:pt idx="6">
                  <c:v>1244.8434713328334</c:v>
                </c:pt>
                <c:pt idx="7">
                  <c:v>931.20451065209465</c:v>
                </c:pt>
                <c:pt idx="8">
                  <c:v>712.19729630759412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E-854A-A2A4-035D919DB043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104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3.3925000000000001</c:v>
                </c:pt>
                <c:pt idx="2">
                  <c:v>5.0999999999999996</c:v>
                </c:pt>
                <c:pt idx="3">
                  <c:v>6.807500000000001</c:v>
                </c:pt>
                <c:pt idx="4">
                  <c:v>8.5150000000000006</c:v>
                </c:pt>
                <c:pt idx="5">
                  <c:v>10.2225</c:v>
                </c:pt>
                <c:pt idx="6">
                  <c:v>11.930000000000001</c:v>
                </c:pt>
                <c:pt idx="7">
                  <c:v>13.637500000000001</c:v>
                </c:pt>
                <c:pt idx="8">
                  <c:v>15.345000000000001</c:v>
                </c:pt>
              </c:numCache>
            </c:numRef>
          </c:xVal>
          <c:yVal>
            <c:numRef>
              <c:f>Abaco!$L$50:$L$58</c:f>
              <c:numCache>
                <c:formatCode>General" m"</c:formatCode>
                <c:ptCount val="9"/>
                <c:pt idx="0">
                  <c:v>1919.3279369936813</c:v>
                </c:pt>
                <c:pt idx="1">
                  <c:v>2295.058359821724</c:v>
                </c:pt>
                <c:pt idx="2">
                  <c:v>2279.0231760618026</c:v>
                </c:pt>
                <c:pt idx="3">
                  <c:v>2031.409255882641</c:v>
                </c:pt>
                <c:pt idx="4">
                  <c:v>1691.8701569833411</c:v>
                </c:pt>
                <c:pt idx="5">
                  <c:v>1356.0411548393372</c:v>
                </c:pt>
                <c:pt idx="6">
                  <c:v>1068.8604422536096</c:v>
                </c:pt>
                <c:pt idx="7">
                  <c:v>840.16587281166051</c:v>
                </c:pt>
                <c:pt idx="8">
                  <c:v>663.63405274800527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E-854A-A2A4-035D919DB043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156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3.3925000000000001</c:v>
                </c:pt>
                <c:pt idx="2">
                  <c:v>5.0999999999999996</c:v>
                </c:pt>
                <c:pt idx="3">
                  <c:v>6.807500000000001</c:v>
                </c:pt>
                <c:pt idx="4">
                  <c:v>8.5150000000000006</c:v>
                </c:pt>
                <c:pt idx="5">
                  <c:v>10.2225</c:v>
                </c:pt>
                <c:pt idx="6">
                  <c:v>11.930000000000001</c:v>
                </c:pt>
                <c:pt idx="7">
                  <c:v>13.637500000000001</c:v>
                </c:pt>
                <c:pt idx="8">
                  <c:v>15.345000000000001</c:v>
                </c:pt>
              </c:numCache>
            </c:numRef>
          </c:xVal>
          <c:yVal>
            <c:numRef>
              <c:f>Abaco!$L$59:$L$67</c:f>
              <c:numCache>
                <c:formatCode>General" m"</c:formatCode>
                <c:ptCount val="9"/>
                <c:pt idx="0">
                  <c:v>1223.8082609744511</c:v>
                </c:pt>
                <c:pt idx="1">
                  <c:v>1396.8369190135295</c:v>
                </c:pt>
                <c:pt idx="2">
                  <c:v>1425.4487551265534</c:v>
                </c:pt>
                <c:pt idx="3">
                  <c:v>1353.3608915721309</c:v>
                </c:pt>
                <c:pt idx="4">
                  <c:v>1216.7707607401983</c:v>
                </c:pt>
                <c:pt idx="5">
                  <c:v>1050.9260014332201</c:v>
                </c:pt>
                <c:pt idx="6">
                  <c:v>883.20985026188544</c:v>
                </c:pt>
                <c:pt idx="7">
                  <c:v>730.21930765805973</c:v>
                </c:pt>
                <c:pt idx="8">
                  <c:v>599.02281729499521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E-854A-A2A4-035D919D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63536"/>
        <c:axId val="1"/>
      </c:scatterChart>
      <c:valAx>
        <c:axId val="176496353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2650918635"/>
              <c:y val="0.80923599762293863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Abaco!$B$76</c:f>
              <c:strCache>
                <c:ptCount val="1"/>
                <c:pt idx="0">
                  <c:v>Altitude max</c:v>
                </c:pt>
              </c:strCache>
            </c:strRef>
          </c:tx>
          <c:layout>
            <c:manualLayout>
              <c:xMode val="edge"/>
              <c:yMode val="edge"/>
              <c:x val="0.14166666666666666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m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6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22834919091606"/>
          <c:y val="0.19457634243306321"/>
          <c:w val="0.19231382461027713"/>
          <c:h val="0.2443516858461724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Abaco!$B$79</c:f>
          <c:strCache>
            <c:ptCount val="1"/>
            <c:pt idx="0">
              <c:v>Temps de culmination / Masse totale</c:v>
            </c:pt>
          </c:strCache>
        </c:strRef>
      </c:tx>
      <c:layout>
        <c:manualLayout>
          <c:xMode val="edge"/>
          <c:yMode val="edge"/>
          <c:x val="0.18369438576275526"/>
          <c:y val="3.2407517456544348E-2"/>
        </c:manualLayout>
      </c:layout>
      <c:overlay val="1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2729658792733"/>
          <c:y val="5.1400554097404488E-2"/>
          <c:w val="0.81367125984251965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Abaco!$B$41</c:f>
              <c:strCache>
                <c:ptCount val="1"/>
                <c:pt idx="0">
                  <c:v>Ø = 54 mm</c:v>
                </c:pt>
              </c:strCache>
            </c:strRef>
          </c:tx>
          <c:xVal>
            <c:numRef>
              <c:f>Abaco!$D$41:$D$49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3.3925000000000001</c:v>
                </c:pt>
                <c:pt idx="2">
                  <c:v>5.0999999999999996</c:v>
                </c:pt>
                <c:pt idx="3">
                  <c:v>6.807500000000001</c:v>
                </c:pt>
                <c:pt idx="4">
                  <c:v>8.5150000000000006</c:v>
                </c:pt>
                <c:pt idx="5">
                  <c:v>10.2225</c:v>
                </c:pt>
                <c:pt idx="6">
                  <c:v>11.930000000000001</c:v>
                </c:pt>
                <c:pt idx="7">
                  <c:v>13.637500000000001</c:v>
                </c:pt>
                <c:pt idx="8">
                  <c:v>15.345000000000001</c:v>
                </c:pt>
              </c:numCache>
            </c:numRef>
          </c:xVal>
          <c:yVal>
            <c:numRef>
              <c:f>Abaco!$M$41:$M$49</c:f>
              <c:numCache>
                <c:formatCode>General" s"</c:formatCode>
                <c:ptCount val="9"/>
                <c:pt idx="0">
                  <c:v>17.801914529830043</c:v>
                </c:pt>
                <c:pt idx="1">
                  <c:v>26.977069308132421</c:v>
                </c:pt>
                <c:pt idx="2">
                  <c:v>28.298557000975666</c:v>
                </c:pt>
                <c:pt idx="3">
                  <c:v>26.18475328809112</c:v>
                </c:pt>
                <c:pt idx="4">
                  <c:v>23.080464160677586</c:v>
                </c:pt>
                <c:pt idx="5">
                  <c:v>20.119469191739569</c:v>
                </c:pt>
                <c:pt idx="6">
                  <c:v>17.61668942751815</c:v>
                </c:pt>
                <c:pt idx="7">
                  <c:v>15.572620910100287</c:v>
                </c:pt>
                <c:pt idx="8">
                  <c:v>13.908786193233935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7-A64B-83D1-484ECF67F6C4}"/>
            </c:ext>
          </c:extLst>
        </c:ser>
        <c:ser>
          <c:idx val="1"/>
          <c:order val="1"/>
          <c:tx>
            <c:strRef>
              <c:f>Abaco!$B$50</c:f>
              <c:strCache>
                <c:ptCount val="1"/>
                <c:pt idx="0">
                  <c:v>Ø = 104 mm</c:v>
                </c:pt>
              </c:strCache>
            </c:strRef>
          </c:tx>
          <c:xVal>
            <c:numRef>
              <c:f>Abaco!$D$50:$D$58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3.3925000000000001</c:v>
                </c:pt>
                <c:pt idx="2">
                  <c:v>5.0999999999999996</c:v>
                </c:pt>
                <c:pt idx="3">
                  <c:v>6.807500000000001</c:v>
                </c:pt>
                <c:pt idx="4">
                  <c:v>8.5150000000000006</c:v>
                </c:pt>
                <c:pt idx="5">
                  <c:v>10.2225</c:v>
                </c:pt>
                <c:pt idx="6">
                  <c:v>11.930000000000001</c:v>
                </c:pt>
                <c:pt idx="7">
                  <c:v>13.637500000000001</c:v>
                </c:pt>
                <c:pt idx="8">
                  <c:v>15.345000000000001</c:v>
                </c:pt>
              </c:numCache>
            </c:numRef>
          </c:xVal>
          <c:yVal>
            <c:numRef>
              <c:f>Abaco!$M$50:$M$58</c:f>
              <c:numCache>
                <c:formatCode>General" s"</c:formatCode>
                <c:ptCount val="9"/>
                <c:pt idx="0">
                  <c:v>10.991628349718576</c:v>
                </c:pt>
                <c:pt idx="1">
                  <c:v>16.535654452329524</c:v>
                </c:pt>
                <c:pt idx="2">
                  <c:v>18.846476934296959</c:v>
                </c:pt>
                <c:pt idx="3">
                  <c:v>19.352807962815469</c:v>
                </c:pt>
                <c:pt idx="4">
                  <c:v>18.72093960414556</c:v>
                </c:pt>
                <c:pt idx="5">
                  <c:v>17.491386049345877</c:v>
                </c:pt>
                <c:pt idx="6">
                  <c:v>16.054750401758874</c:v>
                </c:pt>
                <c:pt idx="7">
                  <c:v>14.635939959074671</c:v>
                </c:pt>
                <c:pt idx="8">
                  <c:v>13.335933214400615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7-A64B-83D1-484ECF67F6C4}"/>
            </c:ext>
          </c:extLst>
        </c:ser>
        <c:ser>
          <c:idx val="2"/>
          <c:order val="2"/>
          <c:tx>
            <c:strRef>
              <c:f>Abaco!$B$59</c:f>
              <c:strCache>
                <c:ptCount val="1"/>
                <c:pt idx="0">
                  <c:v>Ø = 156 mm</c:v>
                </c:pt>
              </c:strCache>
            </c:strRef>
          </c:tx>
          <c:xVal>
            <c:numRef>
              <c:f>Abaco!$D$59:$D$67</c:f>
              <c:numCache>
                <c:formatCode>General\ "kg"</c:formatCode>
                <c:ptCount val="9"/>
                <c:pt idx="0">
                  <c:v>1.6850000000000001</c:v>
                </c:pt>
                <c:pt idx="1">
                  <c:v>3.3925000000000001</c:v>
                </c:pt>
                <c:pt idx="2">
                  <c:v>5.0999999999999996</c:v>
                </c:pt>
                <c:pt idx="3">
                  <c:v>6.807500000000001</c:v>
                </c:pt>
                <c:pt idx="4">
                  <c:v>8.5150000000000006</c:v>
                </c:pt>
                <c:pt idx="5">
                  <c:v>10.2225</c:v>
                </c:pt>
                <c:pt idx="6">
                  <c:v>11.930000000000001</c:v>
                </c:pt>
                <c:pt idx="7">
                  <c:v>13.637500000000001</c:v>
                </c:pt>
                <c:pt idx="8">
                  <c:v>15.345000000000001</c:v>
                </c:pt>
              </c:numCache>
            </c:numRef>
          </c:xVal>
          <c:yVal>
            <c:numRef>
              <c:f>Abaco!$M$59:$M$67</c:f>
              <c:numCache>
                <c:formatCode>General" s"</c:formatCode>
                <c:ptCount val="9"/>
                <c:pt idx="0">
                  <c:v>8.524830917711494</c:v>
                </c:pt>
                <c:pt idx="1">
                  <c:v>12.326785645251556</c:v>
                </c:pt>
                <c:pt idx="2">
                  <c:v>14.263412789211923</c:v>
                </c:pt>
                <c:pt idx="3">
                  <c:v>15.185753656933466</c:v>
                </c:pt>
                <c:pt idx="4">
                  <c:v>15.363497335308642</c:v>
                </c:pt>
                <c:pt idx="5">
                  <c:v>15.010240847825903</c:v>
                </c:pt>
                <c:pt idx="6">
                  <c:v>14.322624628099668</c:v>
                </c:pt>
                <c:pt idx="7">
                  <c:v>13.464994663878107</c:v>
                </c:pt>
                <c:pt idx="8">
                  <c:v>12.555221910096954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47-A64B-83D1-484ECF67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999296"/>
        <c:axId val="1"/>
      </c:scatterChart>
      <c:valAx>
        <c:axId val="1764999296"/>
        <c:scaling>
          <c:orientation val="minMax"/>
        </c:scaling>
        <c:delete val="0"/>
        <c:axPos val="b"/>
        <c:majorGridlines/>
        <c:title>
          <c:tx>
            <c:strRef>
              <c:f>Abaco!$B$73</c:f>
              <c:strCache>
                <c:ptCount val="1"/>
                <c:pt idx="0">
                  <c:v>Masse totale</c:v>
                </c:pt>
              </c:strCache>
            </c:strRef>
          </c:tx>
          <c:layout>
            <c:manualLayout>
              <c:xMode val="edge"/>
              <c:yMode val="edge"/>
              <c:x val="0.2513379425132834"/>
              <c:y val="0.80923599762293863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\ &quot;kg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Abaco!$B$78</c:f>
              <c:strCache>
                <c:ptCount val="1"/>
                <c:pt idx="0">
                  <c:v>Temps de culmination</c:v>
                </c:pt>
              </c:strCache>
            </c:strRef>
          </c:tx>
          <c:layout>
            <c:manualLayout>
              <c:xMode val="edge"/>
              <c:yMode val="edge"/>
              <c:x val="0.14166677336064698"/>
              <c:y val="5.8034467389689502E-2"/>
            </c:manualLayout>
          </c:layout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&quot; s&quot;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7649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6971728612397"/>
          <c:y val="0.19457634243306321"/>
          <c:w val="0.18703852547642652"/>
          <c:h val="0.2443516858461724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Stabilito!$B$117</c:f>
          <c:strCache>
            <c:ptCount val="1"/>
            <c:pt idx="0">
              <c:v>Diagramme des critères de stabilité</c:v>
            </c:pt>
          </c:strCache>
        </c:strRef>
      </c:tx>
      <c:layout>
        <c:manualLayout>
          <c:xMode val="edge"/>
          <c:yMode val="edge"/>
          <c:x val="0.19620910443519402"/>
          <c:y val="8.02141732283464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092838196286504E-2"/>
          <c:y val="5.8823683008029461E-2"/>
          <c:w val="0.93899204244031864"/>
          <c:h val="0.8288791696585972"/>
        </c:manualLayout>
      </c:layout>
      <c:scatterChart>
        <c:scatterStyle val="smoothMarker"/>
        <c:varyColors val="0"/>
        <c:ser>
          <c:idx val="0"/>
          <c:order val="0"/>
          <c:tx>
            <c:v>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Stabilito!$B$182:$B$183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Stabilito!$C$182:$C$183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8-824B-8B6E-E20872B57592}"/>
            </c:ext>
          </c:extLst>
        </c:ser>
        <c:ser>
          <c:idx val="1"/>
          <c:order val="1"/>
          <c:tx>
            <c:v>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Stabilito!$B$184:$B$185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Stabilito!$C$184:$C$185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8-824B-8B6E-E20872B57592}"/>
            </c:ext>
          </c:extLst>
        </c:ser>
        <c:ser>
          <c:idx val="2"/>
          <c:order val="2"/>
          <c:tx>
            <c:v>MS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Stabilito!$B$186:$B$187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Stabilito!$C$186:$C$187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48-824B-8B6E-E20872B57592}"/>
            </c:ext>
          </c:extLst>
        </c:ser>
        <c:ser>
          <c:idx val="3"/>
          <c:order val="3"/>
          <c:tx>
            <c:v>MS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Stabilito!$B$188:$B$189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Stabilito!$C$188:$C$189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48-824B-8B6E-E20872B57592}"/>
            </c:ext>
          </c:extLst>
        </c:ser>
        <c:ser>
          <c:idx val="5"/>
          <c:order val="6"/>
          <c:tx>
            <c:v>MS*Cna min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Stabilito!$D$182:$D$187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</c:numCache>
            </c:numRef>
          </c:xVal>
          <c:yVal>
            <c:numRef>
              <c:f>Stabilito!$E$182:$E$187</c:f>
              <c:numCache>
                <c:formatCode>General</c:formatCode>
                <c:ptCount val="6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13.333333333333334</c:v>
                </c:pt>
                <c:pt idx="4">
                  <c:v>8</c:v>
                </c:pt>
                <c:pt idx="5">
                  <c:v>5.7142857142857144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48-824B-8B6E-E20872B57592}"/>
            </c:ext>
          </c:extLst>
        </c:ser>
        <c:ser>
          <c:idx val="6"/>
          <c:order val="7"/>
          <c:tx>
            <c:v>MS*Cna max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Stabilito!$D$188:$D$193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Stabilito!$E$188:$E$193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33.333333333333336</c:v>
                </c:pt>
                <c:pt idx="3">
                  <c:v>25</c:v>
                </c:pt>
                <c:pt idx="4">
                  <c:v>16.666666666666668</c:v>
                </c:pt>
                <c:pt idx="5">
                  <c:v>14.285714285714286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48-824B-8B6E-E20872B57592}"/>
            </c:ext>
          </c:extLst>
        </c:ser>
        <c:ser>
          <c:idx val="7"/>
          <c:order val="8"/>
          <c:tx>
            <c:v>Cna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Stabilito!$B$195:$B$196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Stabilito!$C$195:$C$196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48-824B-8B6E-E20872B57592}"/>
            </c:ext>
          </c:extLst>
        </c:ser>
        <c:ser>
          <c:idx val="8"/>
          <c:order val="9"/>
          <c:tx>
            <c:v>Cna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Stabilito!$B$197:$B$198</c:f>
              <c:numCache>
                <c:formatCode>General</c:formatCode>
                <c:ptCount val="2"/>
                <c:pt idx="0">
                  <c:v>3.6363636363636362</c:v>
                </c:pt>
                <c:pt idx="1">
                  <c:v>7</c:v>
                </c:pt>
              </c:numCache>
            </c:numRef>
          </c:xVal>
          <c:yVal>
            <c:numRef>
              <c:f>Stabilito!$C$197:$C$198</c:f>
              <c:numCache>
                <c:formatCode>General</c:formatCode>
                <c:ptCount val="2"/>
                <c:pt idx="0">
                  <c:v>27.5</c:v>
                </c:pt>
                <c:pt idx="1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48-824B-8B6E-E20872B57592}"/>
            </c:ext>
          </c:extLst>
        </c:ser>
        <c:ser>
          <c:idx val="9"/>
          <c:order val="10"/>
          <c:tx>
            <c:v>MS moy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Stabilito!$B$199:$B$200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Stabilito!$C$199:$C$200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48-824B-8B6E-E20872B57592}"/>
            </c:ext>
          </c:extLst>
        </c:ser>
        <c:ser>
          <c:idx val="10"/>
          <c:order val="11"/>
          <c:tx>
            <c:v>MS moy2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Stabilito!$B$201:$B$202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Stabilito!$C$201:$C$202</c:f>
              <c:numCache>
                <c:formatCode>General</c:formatCode>
                <c:ptCount val="2"/>
                <c:pt idx="0">
                  <c:v>25</c:v>
                </c:pt>
                <c:pt idx="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48-824B-8B6E-E20872B5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58336"/>
        <c:axId val="1"/>
      </c:scatterChart>
      <c:scatterChart>
        <c:scatterStyle val="lineMarker"/>
        <c:varyColors val="0"/>
        <c:ser>
          <c:idx val="4"/>
          <c:order val="4"/>
          <c:tx>
            <c:v>Fusée en cours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Stabilito!$B$190:$B$193</c:f>
              <c:numCache>
                <c:formatCode>0.00</c:formatCode>
                <c:ptCount val="4"/>
                <c:pt idx="0">
                  <c:v>1.6722271097381343</c:v>
                </c:pt>
                <c:pt idx="1">
                  <c:v>2.6299488065602556</c:v>
                </c:pt>
                <c:pt idx="2">
                  <c:v>3.4412190495062154</c:v>
                </c:pt>
                <c:pt idx="3">
                  <c:v>2.4834973526840938</c:v>
                </c:pt>
              </c:numCache>
            </c:numRef>
          </c:xVal>
          <c:yVal>
            <c:numRef>
              <c:f>Stabilito!$C$190:$C$193</c:f>
              <c:numCache>
                <c:formatCode>0.00</c:formatCode>
                <c:ptCount val="4"/>
                <c:pt idx="0">
                  <c:v>19.779152282887132</c:v>
                </c:pt>
                <c:pt idx="1">
                  <c:v>24.179884950375417</c:v>
                </c:pt>
                <c:pt idx="2">
                  <c:v>24.179884950375417</c:v>
                </c:pt>
                <c:pt idx="3">
                  <c:v>19.779152282887132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48-824B-8B6E-E20872B57592}"/>
            </c:ext>
          </c:extLst>
        </c:ser>
        <c:ser>
          <c:idx val="11"/>
          <c:order val="5"/>
          <c:tx>
            <c:v>Fusée en cours0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Stabilito!$B$193:$B$194</c:f>
              <c:numCache>
                <c:formatCode>0.00</c:formatCode>
                <c:ptCount val="2"/>
                <c:pt idx="0">
                  <c:v>2.4834973526840938</c:v>
                </c:pt>
                <c:pt idx="1">
                  <c:v>1.6722271097381343</c:v>
                </c:pt>
              </c:numCache>
            </c:numRef>
          </c:xVal>
          <c:yVal>
            <c:numRef>
              <c:f>Stabilito!$C$193:$C$194</c:f>
              <c:numCache>
                <c:formatCode>0.00</c:formatCode>
                <c:ptCount val="2"/>
                <c:pt idx="0">
                  <c:v>19.779152282887132</c:v>
                </c:pt>
                <c:pt idx="1">
                  <c:v>19.779152282887132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248-824B-8B6E-E20872B5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258336"/>
        <c:axId val="1"/>
      </c:scatterChart>
      <c:valAx>
        <c:axId val="1806258336"/>
        <c:scaling>
          <c:orientation val="minMax"/>
          <c:max val="7"/>
          <c:min val="0"/>
        </c:scaling>
        <c:delete val="0"/>
        <c:axPos val="b"/>
        <c:title>
          <c:tx>
            <c:strRef>
              <c:f>Stabilito!$B$118</c:f>
              <c:strCache>
                <c:ptCount val="1"/>
                <c:pt idx="0">
                  <c:v>Marge Statique (MS)</c:v>
                </c:pt>
              </c:strCache>
            </c:strRef>
          </c:tx>
          <c:layout>
            <c:manualLayout>
              <c:xMode val="edge"/>
              <c:yMode val="edge"/>
              <c:x val="0.51717271009913568"/>
              <c:y val="0.73094047244094484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5"/>
          <c:min val="0"/>
        </c:scaling>
        <c:delete val="0"/>
        <c:axPos val="l"/>
        <c:title>
          <c:tx>
            <c:strRef>
              <c:f>Stabilito!$B$119</c:f>
              <c:strCache>
                <c:ptCount val="1"/>
                <c:pt idx="0">
                  <c:v>Portance Cnα</c:v>
                </c:pt>
              </c:strCache>
            </c:strRef>
          </c:tx>
          <c:layout>
            <c:manualLayout>
              <c:xMode val="edge"/>
              <c:yMode val="edge"/>
              <c:x val="6.9119481083972784E-2"/>
              <c:y val="0.24099905511811026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2583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49212598450000089" footer="0.49212598450000089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Trajecto!$B$110</c:f>
          <c:strCache>
            <c:ptCount val="1"/>
            <c:pt idx="0">
              <c:v>Trajectoire (x z)</c:v>
            </c:pt>
          </c:strCache>
        </c:strRef>
      </c:tx>
      <c:layout>
        <c:manualLayout>
          <c:xMode val="edge"/>
          <c:yMode val="edge"/>
          <c:x val="0.66868786671936276"/>
          <c:y val="3.85757440697271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697175950449913E-2"/>
          <c:y val="3.5608360198500402E-2"/>
          <c:w val="0.89697235136230857"/>
          <c:h val="0.89614373166225958"/>
        </c:manualLayout>
      </c:layout>
      <c:scatterChart>
        <c:scatterStyle val="lineMarker"/>
        <c:varyColors val="0"/>
        <c:ser>
          <c:idx val="0"/>
          <c:order val="0"/>
          <c:tx>
            <c:v>Point invisible pour mise à l'echelle</c:v>
          </c:tx>
          <c:spPr>
            <a:ln w="3175">
              <a:solidFill>
                <a:srgbClr val="99CCFF"/>
              </a:solidFill>
              <a:prstDash val="solid"/>
            </a:ln>
          </c:spPr>
          <c:marker>
            <c:symbol val="none"/>
          </c:marker>
          <c:xVal>
            <c:numRef>
              <c:f>Trajecto!$B$120</c:f>
              <c:numCache>
                <c:formatCode>0</c:formatCode>
                <c:ptCount val="1"/>
                <c:pt idx="0">
                  <c:v>1592.8848656773607</c:v>
                </c:pt>
              </c:numCache>
            </c:numRef>
          </c:xVal>
          <c:yVal>
            <c:numRef>
              <c:f>Trajecto!$C$118</c:f>
              <c:numCache>
                <c:formatCode>0</c:formatCode>
                <c:ptCount val="1"/>
                <c:pt idx="0">
                  <c:v>1592.8848656773607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B-6442-AFEC-07E56791BA28}"/>
            </c:ext>
          </c:extLst>
        </c:ser>
        <c:ser>
          <c:idx val="1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Calculs!$AD$4:$AD$1004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3.9803743934395683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16.44437374840744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35.941764547963885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58.542025227043879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79.779200714370504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99.657769420789606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118.4280213926388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136.28526186333053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153.3857445739124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169.85728875936113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185.8065890139776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201.32438485572789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216.48918628266526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231.36996347399662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246.02798852275947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260.51773157024206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274.8860136227521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289.1666944494242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303.36873609668123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317.47205631165997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331.44030847534054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345.23202254886388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358.80530944711165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372.11989964631834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385.13824673303941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397.82621943657637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410.15355459734911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422.09413836751219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433.62614846108926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444.73207857362564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455.39866234220301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465.61671320275525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475.38089621380641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484.6894475563098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493.54385670278356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501.9485251250515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509.91041393848485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3.562696885685801E-5</c:v>
                </c:pt>
                <c:pt idx="2">
                  <c:v>1.1875575187218533E-3</c:v>
                </c:pt>
                <c:pt idx="3">
                  <c:v>5.5464952848076647E-3</c:v>
                </c:pt>
                <c:pt idx="4">
                  <c:v>1.5204678378389128E-2</c:v>
                </c:pt>
                <c:pt idx="5">
                  <c:v>3.2256526919684975E-2</c:v>
                </c:pt>
                <c:pt idx="6">
                  <c:v>5.8269452385194841E-2</c:v>
                </c:pt>
                <c:pt idx="7">
                  <c:v>9.3753305161804801E-2</c:v>
                </c:pt>
                <c:pt idx="8">
                  <c:v>0.13868858422863994</c:v>
                </c:pt>
                <c:pt idx="9">
                  <c:v>0.19305568704877241</c:v>
                </c:pt>
                <c:pt idx="10">
                  <c:v>0.25683490991255581</c:v>
                </c:pt>
                <c:pt idx="11">
                  <c:v>0.33000644828484993</c:v>
                </c:pt>
                <c:pt idx="12">
                  <c:v>0.41255039715610847</c:v>
                </c:pt>
                <c:pt idx="13">
                  <c:v>0.50444675139730177</c:v>
                </c:pt>
                <c:pt idx="14">
                  <c:v>0.60567540611864645</c:v>
                </c:pt>
                <c:pt idx="15">
                  <c:v>0.71621615703211317</c:v>
                </c:pt>
                <c:pt idx="16">
                  <c:v>0.83604870081768412</c:v>
                </c:pt>
                <c:pt idx="17">
                  <c:v>0.96515263549333041</c:v>
                </c:pt>
                <c:pt idx="18">
                  <c:v>1.1035074607886803</c:v>
                </c:pt>
                <c:pt idx="19">
                  <c:v>1.2510925785223481</c:v>
                </c:pt>
                <c:pt idx="20">
                  <c:v>1.4078872929828936</c:v>
                </c:pt>
                <c:pt idx="21">
                  <c:v>1.5738708113133821</c:v>
                </c:pt>
                <c:pt idx="22">
                  <c:v>1.7490222438995127</c:v>
                </c:pt>
                <c:pt idx="23">
                  <c:v>1.9333206047612856</c:v>
                </c:pt>
                <c:pt idx="24">
                  <c:v>2.1267448119481767</c:v>
                </c:pt>
                <c:pt idx="25">
                  <c:v>2.3292736879377847</c:v>
                </c:pt>
                <c:pt idx="26">
                  <c:v>2.540885960037925</c:v>
                </c:pt>
                <c:pt idx="27">
                  <c:v>2.7615602607921304</c:v>
                </c:pt>
                <c:pt idx="28">
                  <c:v>2.9912751283885326</c:v>
                </c:pt>
                <c:pt idx="29">
                  <c:v>3.230009007072089</c:v>
                </c:pt>
                <c:pt idx="30">
                  <c:v>3.4777402475601189</c:v>
                </c:pt>
                <c:pt idx="31">
                  <c:v>3.7344471074611216</c:v>
                </c:pt>
                <c:pt idx="32">
                  <c:v>4.000107751696838</c:v>
                </c:pt>
                <c:pt idx="33">
                  <c:v>4.274696525166461</c:v>
                </c:pt>
                <c:pt idx="34">
                  <c:v>4.5581875509029022</c:v>
                </c:pt>
                <c:pt idx="35">
                  <c:v>4.8505584600409337</c:v>
                </c:pt>
                <c:pt idx="36">
                  <c:v>5.1517867981019645</c:v>
                </c:pt>
                <c:pt idx="37">
                  <c:v>5.4618500270532619</c:v>
                </c:pt>
                <c:pt idx="38">
                  <c:v>5.7807255254015475</c:v>
                </c:pt>
                <c:pt idx="39">
                  <c:v>6.108390588317401</c:v>
                </c:pt>
                <c:pt idx="40">
                  <c:v>6.4448224277874928</c:v>
                </c:pt>
                <c:pt idx="41">
                  <c:v>6.78999817279204</c:v>
                </c:pt>
                <c:pt idx="42">
                  <c:v>7.1438948695052158</c:v>
                </c:pt>
                <c:pt idx="43">
                  <c:v>7.5064894815165157</c:v>
                </c:pt>
                <c:pt idx="44">
                  <c:v>7.8777588900713127</c:v>
                </c:pt>
                <c:pt idx="45">
                  <c:v>8.2576798943290477</c:v>
                </c:pt>
                <c:pt idx="46">
                  <c:v>8.6462292116376762</c:v>
                </c:pt>
                <c:pt idx="47">
                  <c:v>9.0433834778231219</c:v>
                </c:pt>
                <c:pt idx="48">
                  <c:v>9.4491192474926535</c:v>
                </c:pt>
                <c:pt idx="49">
                  <c:v>9.8634129943511848</c:v>
                </c:pt>
                <c:pt idx="50">
                  <c:v>10.286241111529611</c:v>
                </c:pt>
                <c:pt idx="51">
                  <c:v>10.717582703030709</c:v>
                </c:pt>
                <c:pt idx="52">
                  <c:v>11.157422379425888</c:v>
                </c:pt>
                <c:pt idx="53">
                  <c:v>11.605747472928835</c:v>
                </c:pt>
                <c:pt idx="54">
                  <c:v>12.062545248107767</c:v>
                </c:pt>
                <c:pt idx="55">
                  <c:v>12.5278029020023</c:v>
                </c:pt>
                <c:pt idx="56">
                  <c:v>13.001507564247742</c:v>
                </c:pt>
                <c:pt idx="57">
                  <c:v>13.483646297206469</c:v>
                </c:pt>
                <c:pt idx="58">
                  <c:v>13.974206096106016</c:v>
                </c:pt>
                <c:pt idx="59">
                  <c:v>14.473173889183581</c:v>
                </c:pt>
                <c:pt idx="60">
                  <c:v>14.980536537836667</c:v>
                </c:pt>
                <c:pt idx="61">
                  <c:v>15.496280836779572</c:v>
                </c:pt>
                <c:pt idx="62">
                  <c:v>16.020393514205502</c:v>
                </c:pt>
                <c:pt idx="63">
                  <c:v>16.552861231954065</c:v>
                </c:pt>
                <c:pt idx="64">
                  <c:v>17.093670585683952</c:v>
                </c:pt>
                <c:pt idx="65">
                  <c:v>17.642808105050591</c:v>
                </c:pt>
                <c:pt idx="66">
                  <c:v>18.200260253888597</c:v>
                </c:pt>
                <c:pt idx="67">
                  <c:v>18.766013430398861</c:v>
                </c:pt>
                <c:pt idx="68">
                  <c:v>19.340053967340097</c:v>
                </c:pt>
                <c:pt idx="69">
                  <c:v>19.922368132224715</c:v>
                </c:pt>
                <c:pt idx="70">
                  <c:v>20.51294212751888</c:v>
                </c:pt>
                <c:pt idx="71">
                  <c:v>21.111762090846604</c:v>
                </c:pt>
                <c:pt idx="72">
                  <c:v>21.718814095197782</c:v>
                </c:pt>
                <c:pt idx="73">
                  <c:v>22.334084149140036</c:v>
                </c:pt>
                <c:pt idx="74">
                  <c:v>22.957558197034245</c:v>
                </c:pt>
                <c:pt idx="75">
                  <c:v>23.589222119253687</c:v>
                </c:pt>
                <c:pt idx="76">
                  <c:v>24.229061732406674</c:v>
                </c:pt>
                <c:pt idx="77">
                  <c:v>24.877062789562594</c:v>
                </c:pt>
                <c:pt idx="78">
                  <c:v>25.533210980481272</c:v>
                </c:pt>
                <c:pt idx="79">
                  <c:v>26.197491931845555</c:v>
                </c:pt>
                <c:pt idx="80">
                  <c:v>26.869891207497066</c:v>
                </c:pt>
                <c:pt idx="81">
                  <c:v>27.55039430867502</c:v>
                </c:pt>
                <c:pt idx="82">
                  <c:v>28.238986674258054</c:v>
                </c:pt>
                <c:pt idx="83">
                  <c:v>28.93565368100899</c:v>
                </c:pt>
                <c:pt idx="84">
                  <c:v>29.640380643822454</c:v>
                </c:pt>
                <c:pt idx="85">
                  <c:v>30.35315281597531</c:v>
                </c:pt>
                <c:pt idx="86">
                  <c:v>31.073955389379837</c:v>
                </c:pt>
                <c:pt idx="87">
                  <c:v>31.802773494839574</c:v>
                </c:pt>
                <c:pt idx="88">
                  <c:v>32.539592202307801</c:v>
                </c:pt>
                <c:pt idx="89">
                  <c:v>33.284396521148587</c:v>
                </c:pt>
                <c:pt idx="90">
                  <c:v>34.037171400400354</c:v>
                </c:pt>
                <c:pt idx="91">
                  <c:v>34.797901729041897</c:v>
                </c:pt>
                <c:pt idx="92">
                  <c:v>35.566572336260847</c:v>
                </c:pt>
                <c:pt idx="93">
                  <c:v>36.343167991724457</c:v>
                </c:pt>
                <c:pt idx="94">
                  <c:v>37.12767340585274</c:v>
                </c:pt>
                <c:pt idx="95">
                  <c:v>37.92007323009387</c:v>
                </c:pt>
                <c:pt idx="96">
                  <c:v>38.720352057201815</c:v>
                </c:pt>
                <c:pt idx="97">
                  <c:v>39.528494421516164</c:v>
                </c:pt>
                <c:pt idx="98">
                  <c:v>40.344484799244064</c:v>
                </c:pt>
                <c:pt idx="99">
                  <c:v>41.168307608744314</c:v>
                </c:pt>
                <c:pt idx="100">
                  <c:v>41.999947210813467</c:v>
                </c:pt>
                <c:pt idx="101">
                  <c:v>42.839386621090078</c:v>
                </c:pt>
                <c:pt idx="102">
                  <c:v>43.686606221046318</c:v>
                </c:pt>
                <c:pt idx="103">
                  <c:v>44.541585044517475</c:v>
                </c:pt>
                <c:pt idx="104">
                  <c:v>45.404302065707192</c:v>
                </c:pt>
                <c:pt idx="105">
                  <c:v>46.274736199601875</c:v>
                </c:pt>
                <c:pt idx="106">
                  <c:v>47.152866302386762</c:v>
                </c:pt>
                <c:pt idx="107">
                  <c:v>48.038671171863662</c:v>
                </c:pt>
                <c:pt idx="108">
                  <c:v>48.932129547870304</c:v>
                </c:pt>
                <c:pt idx="109">
                  <c:v>49.833220112701213</c:v>
                </c:pt>
                <c:pt idx="110">
                  <c:v>50.741921491530142</c:v>
                </c:pt>
                <c:pt idx="111">
                  <c:v>51.658212252833941</c:v>
                </c:pt>
                <c:pt idx="112">
                  <c:v>52.582070908817876</c:v>
                </c:pt>
                <c:pt idx="113">
                  <c:v>53.513475915842321</c:v>
                </c:pt>
                <c:pt idx="114">
                  <c:v>54.452405674850795</c:v>
                </c:pt>
                <c:pt idx="115">
                  <c:v>55.398838531799292</c:v>
                </c:pt>
                <c:pt idx="116">
                  <c:v>56.352752778086909</c:v>
                </c:pt>
                <c:pt idx="117">
                  <c:v>57.314126650987625</c:v>
                </c:pt>
                <c:pt idx="118">
                  <c:v>58.282938334083319</c:v>
                </c:pt>
                <c:pt idx="119">
                  <c:v>59.259165957697896</c:v>
                </c:pt>
                <c:pt idx="120">
                  <c:v>60.24278759933253</c:v>
                </c:pt>
                <c:pt idx="121">
                  <c:v>61.233781284101966</c:v>
                </c:pt>
                <c:pt idx="122">
                  <c:v>62.232124985171808</c:v>
                </c:pt>
                <c:pt idx="123">
                  <c:v>63.237796624196861</c:v>
                </c:pt>
                <c:pt idx="124">
                  <c:v>64.250774071760361</c:v>
                </c:pt>
                <c:pt idx="125">
                  <c:v>65.271035147814132</c:v>
                </c:pt>
                <c:pt idx="126">
                  <c:v>66.298557622119631</c:v>
                </c:pt>
                <c:pt idx="127">
                  <c:v>67.333319214689794</c:v>
                </c:pt>
                <c:pt idx="128">
                  <c:v>68.375297596231746</c:v>
                </c:pt>
                <c:pt idx="129">
                  <c:v>69.42447038859018</c:v>
                </c:pt>
                <c:pt idx="130">
                  <c:v>70.48081516519153</c:v>
                </c:pt>
                <c:pt idx="131">
                  <c:v>71.544309451488857</c:v>
                </c:pt>
                <c:pt idx="132">
                  <c:v>72.614930725407319</c:v>
                </c:pt>
                <c:pt idx="133">
                  <c:v>73.692656417790317</c:v>
                </c:pt>
                <c:pt idx="134">
                  <c:v>74.777463912846187</c:v>
                </c:pt>
                <c:pt idx="135">
                  <c:v>75.869330548595499</c:v>
                </c:pt>
                <c:pt idx="136">
                  <c:v>76.968233617318845</c:v>
                </c:pt>
                <c:pt idx="137">
                  <c:v>78.074150366005099</c:v>
                </c:pt>
                <c:pt idx="138">
                  <c:v>79.187057996800164</c:v>
                </c:pt>
                <c:pt idx="139">
                  <c:v>80.306933667456079</c:v>
                </c:pt>
                <c:pt idx="140">
                  <c:v>81.433754491780604</c:v>
                </c:pt>
                <c:pt idx="141">
                  <c:v>82.567497540087061</c:v>
                </c:pt>
                <c:pt idx="142">
                  <c:v>83.708139839644559</c:v>
                </c:pt>
                <c:pt idx="143">
                  <c:v>84.855658375128485</c:v>
                </c:pt>
                <c:pt idx="144">
                  <c:v>86.010030089071236</c:v>
                </c:pt>
                <c:pt idx="145">
                  <c:v>87.171231882313208</c:v>
                </c:pt>
                <c:pt idx="146">
                  <c:v>88.339240614453956</c:v>
                </c:pt>
                <c:pt idx="147">
                  <c:v>89.514033104303522</c:v>
                </c:pt>
                <c:pt idx="148">
                  <c:v>90.695586130333879</c:v>
                </c:pt>
                <c:pt idx="149">
                  <c:v>91.883876431130489</c:v>
                </c:pt>
                <c:pt idx="150">
                  <c:v>93.078880705843929</c:v>
                </c:pt>
                <c:pt idx="151">
                  <c:v>94.280576053152885</c:v>
                </c:pt>
                <c:pt idx="152">
                  <c:v>95.488940410499865</c:v>
                </c:pt>
                <c:pt idx="153">
                  <c:v>96.703952116208185</c:v>
                </c:pt>
                <c:pt idx="154">
                  <c:v>97.925589471307063</c:v>
                </c:pt>
                <c:pt idx="155">
                  <c:v>99.153830739944809</c:v>
                </c:pt>
                <c:pt idx="156">
                  <c:v>100.38865414980206</c:v>
                </c:pt>
                <c:pt idx="157">
                  <c:v>101.63003789250509</c:v>
                </c:pt>
                <c:pt idx="158">
                  <c:v>102.87796012403895</c:v>
                </c:pt>
                <c:pt idx="159">
                  <c:v>104.13239896516082</c:v>
                </c:pt>
                <c:pt idx="160">
                  <c:v>105.39333250181311</c:v>
                </c:pt>
                <c:pt idx="161">
                  <c:v>106.66073878553654</c:v>
                </c:pt>
                <c:pt idx="162">
                  <c:v>107.93459583388315</c:v>
                </c:pt>
                <c:pt idx="163">
                  <c:v>109.21488163082908</c:v>
                </c:pt>
                <c:pt idx="164">
                  <c:v>110.50157412718731</c:v>
                </c:pt>
                <c:pt idx="165">
                  <c:v>111.79465124102009</c:v>
                </c:pt>
                <c:pt idx="166">
                  <c:v>113.09409085805129</c:v>
                </c:pt>
                <c:pt idx="167">
                  <c:v>114.39987083207838</c:v>
                </c:pt>
                <c:pt idx="168">
                  <c:v>115.71196898538427</c:v>
                </c:pt>
                <c:pt idx="169">
                  <c:v>117.03036310914881</c:v>
                </c:pt>
                <c:pt idx="170">
                  <c:v>118.35503096385993</c:v>
                </c:pt>
                <c:pt idx="171">
                  <c:v>119.68595027972458</c:v>
                </c:pt>
                <c:pt idx="172">
                  <c:v>121.02309875707918</c:v>
                </c:pt>
                <c:pt idx="173">
                  <c:v>122.36645406679979</c:v>
                </c:pt>
                <c:pt idx="174">
                  <c:v>123.71599385071181</c:v>
                </c:pt>
                <c:pt idx="175">
                  <c:v>125.07169572199929</c:v>
                </c:pt>
                <c:pt idx="176">
                  <c:v>126.43353726561378</c:v>
                </c:pt>
                <c:pt idx="177">
                  <c:v>127.80149603868269</c:v>
                </c:pt>
                <c:pt idx="178">
                  <c:v>129.17554957091718</c:v>
                </c:pt>
                <c:pt idx="179">
                  <c:v>130.55567536501954</c:v>
                </c:pt>
                <c:pt idx="180">
                  <c:v>131.94185089709001</c:v>
                </c:pt>
                <c:pt idx="181">
                  <c:v>133.33405361703299</c:v>
                </c:pt>
                <c:pt idx="182">
                  <c:v>134.73226094896279</c:v>
                </c:pt>
                <c:pt idx="183">
                  <c:v>136.13645029160861</c:v>
                </c:pt>
                <c:pt idx="184">
                  <c:v>137.54659901871912</c:v>
                </c:pt>
                <c:pt idx="185">
                  <c:v>138.96268447946608</c:v>
                </c:pt>
                <c:pt idx="186">
                  <c:v>140.38468399884755</c:v>
                </c:pt>
                <c:pt idx="187">
                  <c:v>141.81257487809032</c:v>
                </c:pt>
                <c:pt idx="188">
                  <c:v>143.24633439505158</c:v>
                </c:pt>
                <c:pt idx="189">
                  <c:v>144.68593980461992</c:v>
                </c:pt>
                <c:pt idx="190">
                  <c:v>146.13136833911557</c:v>
                </c:pt>
                <c:pt idx="191">
                  <c:v>147.5825972086898</c:v>
                </c:pt>
                <c:pt idx="192">
                  <c:v>149.03960360172363</c:v>
                </c:pt>
                <c:pt idx="193">
                  <c:v>150.50236468522559</c:v>
                </c:pt>
                <c:pt idx="194">
                  <c:v>151.97085760522876</c:v>
                </c:pt>
                <c:pt idx="195">
                  <c:v>153.44505948718688</c:v>
                </c:pt>
                <c:pt idx="196">
                  <c:v>154.92494743636971</c:v>
                </c:pt>
                <c:pt idx="197">
                  <c:v>156.41049853825726</c:v>
                </c:pt>
                <c:pt idx="198">
                  <c:v>157.90168985893337</c:v>
                </c:pt>
                <c:pt idx="199">
                  <c:v>159.39849844547814</c:v>
                </c:pt>
                <c:pt idx="200">
                  <c:v>160.90090132635962</c:v>
                </c:pt>
                <c:pt idx="201">
                  <c:v>162.40887551182428</c:v>
                </c:pt>
                <c:pt idx="202">
                  <c:v>163.92239799428671</c:v>
                </c:pt>
                <c:pt idx="203">
                  <c:v>165.44144574871822</c:v>
                </c:pt>
                <c:pt idx="204">
                  <c:v>166.96599573303442</c:v>
                </c:pt>
                <c:pt idx="205">
                  <c:v>168.49602488848168</c:v>
                </c:pt>
                <c:pt idx="206">
                  <c:v>170.03151014002279</c:v>
                </c:pt>
                <c:pt idx="207">
                  <c:v>171.57242839672116</c:v>
                </c:pt>
                <c:pt idx="208">
                  <c:v>173.1187565521243</c:v>
                </c:pt>
                <c:pt idx="209">
                  <c:v>174.67047148464587</c:v>
                </c:pt>
                <c:pt idx="210">
                  <c:v>176.2275500579469</c:v>
                </c:pt>
                <c:pt idx="211">
                  <c:v>177.78996912131555</c:v>
                </c:pt>
                <c:pt idx="212">
                  <c:v>179.35770551004597</c:v>
                </c:pt>
                <c:pt idx="213">
                  <c:v>180.93073604581591</c:v>
                </c:pt>
                <c:pt idx="214">
                  <c:v>182.50903753706299</c:v>
                </c:pt>
                <c:pt idx="215">
                  <c:v>184.09258677935998</c:v>
                </c:pt>
                <c:pt idx="216">
                  <c:v>185.68136055578867</c:v>
                </c:pt>
                <c:pt idx="217">
                  <c:v>187.27533563731268</c:v>
                </c:pt>
                <c:pt idx="218">
                  <c:v>188.87448878314879</c:v>
                </c:pt>
                <c:pt idx="219">
                  <c:v>190.47879674113722</c:v>
                </c:pt>
                <c:pt idx="220">
                  <c:v>192.08823624811043</c:v>
                </c:pt>
                <c:pt idx="221">
                  <c:v>193.70278403026083</c:v>
                </c:pt>
                <c:pt idx="222">
                  <c:v>195.32241680350691</c:v>
                </c:pt>
                <c:pt idx="223">
                  <c:v>196.9471112738583</c:v>
                </c:pt>
                <c:pt idx="224">
                  <c:v>198.57684413777926</c:v>
                </c:pt>
                <c:pt idx="225">
                  <c:v>200.21159208255105</c:v>
                </c:pt>
                <c:pt idx="226">
                  <c:v>201.85133178663267</c:v>
                </c:pt>
                <c:pt idx="227">
                  <c:v>203.49603992002042</c:v>
                </c:pt>
                <c:pt idx="228">
                  <c:v>205.1456931446059</c:v>
                </c:pt>
                <c:pt idx="229">
                  <c:v>206.80026811453277</c:v>
                </c:pt>
                <c:pt idx="230">
                  <c:v>208.4597414765519</c:v>
                </c:pt>
                <c:pt idx="231">
                  <c:v>210.12408987037523</c:v>
                </c:pt>
                <c:pt idx="232">
                  <c:v>211.79328992902808</c:v>
                </c:pt>
                <c:pt idx="233">
                  <c:v>213.46731827920007</c:v>
                </c:pt>
                <c:pt idx="234">
                  <c:v>215.14615154159446</c:v>
                </c:pt>
                <c:pt idx="235">
                  <c:v>216.82976633127618</c:v>
                </c:pt>
                <c:pt idx="236">
                  <c:v>218.51813925801812</c:v>
                </c:pt>
                <c:pt idx="237">
                  <c:v>220.21124692664611</c:v>
                </c:pt>
                <c:pt idx="238">
                  <c:v>221.90906593738234</c:v>
                </c:pt>
                <c:pt idx="239">
                  <c:v>223.61157288618708</c:v>
                </c:pt>
                <c:pt idx="240">
                  <c:v>225.31874436509912</c:v>
                </c:pt>
                <c:pt idx="241">
                  <c:v>227.03055696257442</c:v>
                </c:pt>
                <c:pt idx="242">
                  <c:v>228.74698726382334</c:v>
                </c:pt>
                <c:pt idx="243">
                  <c:v>230.46801185114617</c:v>
                </c:pt>
                <c:pt idx="244">
                  <c:v>232.19360730426726</c:v>
                </c:pt>
                <c:pt idx="245">
                  <c:v>233.92375020066734</c:v>
                </c:pt>
                <c:pt idx="246">
                  <c:v>235.65841711591429</c:v>
                </c:pt>
                <c:pt idx="247">
                  <c:v>237.39758462399246</c:v>
                </c:pt>
                <c:pt idx="248">
                  <c:v>239.14122929763008</c:v>
                </c:pt>
                <c:pt idx="249">
                  <c:v>240.88932770862525</c:v>
                </c:pt>
                <c:pt idx="250">
                  <c:v>242.64185642817023</c:v>
                </c:pt>
                <c:pt idx="251">
                  <c:v>244.39879013416561</c:v>
                </c:pt>
                <c:pt idx="252">
                  <c:v>246.1600997189361</c:v>
                </c:pt>
                <c:pt idx="253">
                  <c:v>247.92575418464855</c:v>
                </c:pt>
                <c:pt idx="254">
                  <c:v>249.69572253839024</c:v>
                </c:pt>
                <c:pt idx="255">
                  <c:v>251.4699737926141</c:v>
                </c:pt>
                <c:pt idx="256">
                  <c:v>253.24847696558112</c:v>
                </c:pt>
                <c:pt idx="257">
                  <c:v>255.03120108179979</c:v>
                </c:pt>
                <c:pt idx="258">
                  <c:v>256.81811517246263</c:v>
                </c:pt>
                <c:pt idx="259">
                  <c:v>258.60918827587949</c:v>
                </c:pt>
                <c:pt idx="260">
                  <c:v>260.40438943790843</c:v>
                </c:pt>
                <c:pt idx="261">
                  <c:v>262.20368771238293</c:v>
                </c:pt>
                <c:pt idx="262">
                  <c:v>264.00705216153665</c:v>
                </c:pt>
                <c:pt idx="263">
                  <c:v>265.81445185642491</c:v>
                </c:pt>
                <c:pt idx="264">
                  <c:v>267.62585587734321</c:v>
                </c:pt>
                <c:pt idx="265">
                  <c:v>269.44123331424288</c:v>
                </c:pt>
                <c:pt idx="266">
                  <c:v>271.26055326714345</c:v>
                </c:pt>
                <c:pt idx="267">
                  <c:v>273.08378484654213</c:v>
                </c:pt>
                <c:pt idx="268">
                  <c:v>274.91089717382022</c:v>
                </c:pt>
                <c:pt idx="269">
                  <c:v>276.74185938164652</c:v>
                </c:pt>
                <c:pt idx="270">
                  <c:v>278.57664061437765</c:v>
                </c:pt>
                <c:pt idx="271">
                  <c:v>280.41521002845525</c:v>
                </c:pt>
                <c:pt idx="272">
                  <c:v>282.25753679280018</c:v>
                </c:pt>
                <c:pt idx="273">
                  <c:v>284.10359008920358</c:v>
                </c:pt>
                <c:pt idx="274">
                  <c:v>285.95333911271501</c:v>
                </c:pt>
                <c:pt idx="275">
                  <c:v>287.80675307202728</c:v>
                </c:pt>
                <c:pt idx="276">
                  <c:v>289.66380118985836</c:v>
                </c:pt>
                <c:pt idx="277">
                  <c:v>291.52445270333016</c:v>
                </c:pt>
                <c:pt idx="278">
                  <c:v>293.38867686434401</c:v>
                </c:pt>
                <c:pt idx="279">
                  <c:v>295.2564429399535</c:v>
                </c:pt>
                <c:pt idx="280">
                  <c:v>297.12772021273372</c:v>
                </c:pt>
                <c:pt idx="281">
                  <c:v>299.00247798114771</c:v>
                </c:pt>
                <c:pt idx="282">
                  <c:v>300.88068555990958</c:v>
                </c:pt>
                <c:pt idx="283">
                  <c:v>302.7623122803447</c:v>
                </c:pt>
                <c:pt idx="284">
                  <c:v>304.6473274907467</c:v>
                </c:pt>
                <c:pt idx="285">
                  <c:v>306.53570055673129</c:v>
                </c:pt>
                <c:pt idx="286">
                  <c:v>308.4274008615871</c:v>
                </c:pt>
                <c:pt idx="287">
                  <c:v>310.32239780662326</c:v>
                </c:pt>
                <c:pt idx="288">
                  <c:v>312.22066081151388</c:v>
                </c:pt>
                <c:pt idx="289">
                  <c:v>314.12215931463948</c:v>
                </c:pt>
                <c:pt idx="290">
                  <c:v>316.02686277342514</c:v>
                </c:pt>
                <c:pt idx="291">
                  <c:v>317.93474066467581</c:v>
                </c:pt>
                <c:pt idx="292">
                  <c:v>319.84576248490816</c:v>
                </c:pt>
                <c:pt idx="293">
                  <c:v>321.7598977506795</c:v>
                </c:pt>
                <c:pt idx="294">
                  <c:v>323.67711599891351</c:v>
                </c:pt>
                <c:pt idx="295">
                  <c:v>325.59738678722289</c:v>
                </c:pt>
                <c:pt idx="296">
                  <c:v>327.52067969422876</c:v>
                </c:pt>
                <c:pt idx="297">
                  <c:v>329.44696431987722</c:v>
                </c:pt>
                <c:pt idx="298">
                  <c:v>331.3761895080861</c:v>
                </c:pt>
                <c:pt idx="299">
                  <c:v>333.30826258258429</c:v>
                </c:pt>
                <c:pt idx="300">
                  <c:v>335.24307016300037</c:v>
                </c:pt>
                <c:pt idx="301">
                  <c:v>337.1804989688448</c:v>
                </c:pt>
                <c:pt idx="302">
                  <c:v>339.12043582197754</c:v>
                </c:pt>
                <c:pt idx="303">
                  <c:v>341.0627676490372</c:v>
                </c:pt>
                <c:pt idx="304">
                  <c:v>343.0073814838313</c:v>
                </c:pt>
                <c:pt idx="305">
                  <c:v>344.95416446968767</c:v>
                </c:pt>
                <c:pt idx="306">
                  <c:v>346.90300386176767</c:v>
                </c:pt>
                <c:pt idx="307">
                  <c:v>348.85378702934025</c:v>
                </c:pt>
                <c:pt idx="308">
                  <c:v>350.80640145801783</c:v>
                </c:pt>
                <c:pt idx="309">
                  <c:v>352.76073475195312</c:v>
                </c:pt>
                <c:pt idx="310">
                  <c:v>354.71667463599795</c:v>
                </c:pt>
                <c:pt idx="311">
                  <c:v>356.67410895782319</c:v>
                </c:pt>
                <c:pt idx="312">
                  <c:v>358.63292569000038</c:v>
                </c:pt>
                <c:pt idx="313">
                  <c:v>360.59301293204504</c:v>
                </c:pt>
                <c:pt idx="314">
                  <c:v>362.55425891242163</c:v>
                </c:pt>
                <c:pt idx="315">
                  <c:v>364.51655199051027</c:v>
                </c:pt>
                <c:pt idx="316">
                  <c:v>366.47978065853539</c:v>
                </c:pt>
                <c:pt idx="317">
                  <c:v>368.44383354345621</c:v>
                </c:pt>
                <c:pt idx="318">
                  <c:v>370.40859940881944</c:v>
                </c:pt>
                <c:pt idx="319">
                  <c:v>372.37396715657383</c:v>
                </c:pt>
                <c:pt idx="320">
                  <c:v>374.33982582884727</c:v>
                </c:pt>
                <c:pt idx="321">
                  <c:v>376.30607287185467</c:v>
                </c:pt>
                <c:pt idx="322">
                  <c:v>378.27262238995047</c:v>
                </c:pt>
                <c:pt idx="323">
                  <c:v>380.23939686296978</c:v>
                </c:pt>
                <c:pt idx="324">
                  <c:v>382.20631887292132</c:v>
                </c:pt>
                <c:pt idx="325">
                  <c:v>384.17331110472998</c:v>
                </c:pt>
                <c:pt idx="326">
                  <c:v>386.14029634696135</c:v>
                </c:pt>
                <c:pt idx="327">
                  <c:v>388.10719749252803</c:v>
                </c:pt>
                <c:pt idx="328">
                  <c:v>390.07393753937794</c:v>
                </c:pt>
                <c:pt idx="329">
                  <c:v>392.04043959116484</c:v>
                </c:pt>
                <c:pt idx="330">
                  <c:v>394.00662685790115</c:v>
                </c:pt>
                <c:pt idx="331">
                  <c:v>395.9724226565927</c:v>
                </c:pt>
                <c:pt idx="332">
                  <c:v>397.93775041185631</c:v>
                </c:pt>
                <c:pt idx="333">
                  <c:v>399.90253365651938</c:v>
                </c:pt>
                <c:pt idx="334">
                  <c:v>401.86669603220236</c:v>
                </c:pt>
                <c:pt idx="335">
                  <c:v>403.83016128988368</c:v>
                </c:pt>
                <c:pt idx="336">
                  <c:v>405.79285329044751</c:v>
                </c:pt>
                <c:pt idx="337">
                  <c:v>407.75469600521433</c:v>
                </c:pt>
                <c:pt idx="338">
                  <c:v>409.71561351645437</c:v>
                </c:pt>
                <c:pt idx="339">
                  <c:v>411.67553001788417</c:v>
                </c:pt>
                <c:pt idx="340">
                  <c:v>413.63436981514604</c:v>
                </c:pt>
                <c:pt idx="341">
                  <c:v>415.59205732627117</c:v>
                </c:pt>
                <c:pt idx="342">
                  <c:v>417.54851708212544</c:v>
                </c:pt>
                <c:pt idx="343">
                  <c:v>419.50367372683928</c:v>
                </c:pt>
                <c:pt idx="344">
                  <c:v>421.45745201822058</c:v>
                </c:pt>
                <c:pt idx="345">
                  <c:v>423.40977682815139</c:v>
                </c:pt>
                <c:pt idx="346">
                  <c:v>425.36057314296841</c:v>
                </c:pt>
                <c:pt idx="347">
                  <c:v>427.30976606382723</c:v>
                </c:pt>
                <c:pt idx="348">
                  <c:v>429.25728169790193</c:v>
                </c:pt>
                <c:pt idx="349">
                  <c:v>431.20304804816152</c:v>
                </c:pt>
                <c:pt idx="350">
                  <c:v>433.1469941199469</c:v>
                </c:pt>
                <c:pt idx="351">
                  <c:v>435.08904902891459</c:v>
                </c:pt>
                <c:pt idx="352">
                  <c:v>437.02914200127179</c:v>
                </c:pt>
                <c:pt idx="353">
                  <c:v>438.96720237399734</c:v>
                </c:pt>
                <c:pt idx="354">
                  <c:v>440.90315959504875</c:v>
                </c:pt>
                <c:pt idx="355">
                  <c:v>442.83694322355575</c:v>
                </c:pt>
                <c:pt idx="356">
                  <c:v>444.76848292999966</c:v>
                </c:pt>
                <c:pt idx="357">
                  <c:v>446.69770849637956</c:v>
                </c:pt>
                <c:pt idx="358">
                  <c:v>448.62454981636472</c:v>
                </c:pt>
                <c:pt idx="359">
                  <c:v>450.54893689543383</c:v>
                </c:pt>
                <c:pt idx="360">
                  <c:v>452.47081837643316</c:v>
                </c:pt>
                <c:pt idx="361">
                  <c:v>454.39018003335008</c:v>
                </c:pt>
                <c:pt idx="362">
                  <c:v>456.30702618280026</c:v>
                </c:pt>
                <c:pt idx="363">
                  <c:v>458.22136112726434</c:v>
                </c:pt>
                <c:pt idx="364">
                  <c:v>460.13318915514901</c:v>
                </c:pt>
                <c:pt idx="365">
                  <c:v>462.04251454084726</c:v>
                </c:pt>
                <c:pt idx="366">
                  <c:v>463.94934154479887</c:v>
                </c:pt>
                <c:pt idx="367">
                  <c:v>465.8536744135501</c:v>
                </c:pt>
                <c:pt idx="368">
                  <c:v>467.7555173798134</c:v>
                </c:pt>
                <c:pt idx="369">
                  <c:v>469.65487466252665</c:v>
                </c:pt>
                <c:pt idx="370">
                  <c:v>471.55175046691193</c:v>
                </c:pt>
                <c:pt idx="371">
                  <c:v>473.44614898453426</c:v>
                </c:pt>
                <c:pt idx="372">
                  <c:v>475.33807439335988</c:v>
                </c:pt>
                <c:pt idx="373">
                  <c:v>477.2275308578142</c:v>
                </c:pt>
                <c:pt idx="374">
                  <c:v>479.11452252883942</c:v>
                </c:pt>
                <c:pt idx="375">
                  <c:v>480.99905354395185</c:v>
                </c:pt>
                <c:pt idx="376">
                  <c:v>482.88112802729916</c:v>
                </c:pt>
                <c:pt idx="377">
                  <c:v>484.76075008971679</c:v>
                </c:pt>
                <c:pt idx="378">
                  <c:v>486.63792382878466</c:v>
                </c:pt>
                <c:pt idx="379">
                  <c:v>488.51265332888318</c:v>
                </c:pt>
                <c:pt idx="380">
                  <c:v>490.38494266124894</c:v>
                </c:pt>
                <c:pt idx="381">
                  <c:v>492.2547958840305</c:v>
                </c:pt>
                <c:pt idx="382">
                  <c:v>494.12221704234344</c:v>
                </c:pt>
                <c:pt idx="383">
                  <c:v>495.98721016832525</c:v>
                </c:pt>
                <c:pt idx="384">
                  <c:v>497.84977928119014</c:v>
                </c:pt>
                <c:pt idx="385">
                  <c:v>499.70992838728318</c:v>
                </c:pt>
                <c:pt idx="386">
                  <c:v>501.56766148013463</c:v>
                </c:pt>
                <c:pt idx="387">
                  <c:v>503.42298254051337</c:v>
                </c:pt>
                <c:pt idx="388">
                  <c:v>505.27589553648062</c:v>
                </c:pt>
                <c:pt idx="389">
                  <c:v>507.12640442344309</c:v>
                </c:pt>
                <c:pt idx="390">
                  <c:v>508.9745131442059</c:v>
                </c:pt>
                <c:pt idx="391">
                  <c:v>510.82022562902512</c:v>
                </c:pt>
                <c:pt idx="392">
                  <c:v>512.66354579566018</c:v>
                </c:pt>
                <c:pt idx="393">
                  <c:v>514.50447754942616</c:v>
                </c:pt>
                <c:pt idx="394">
                  <c:v>516.34302478324514</c:v>
                </c:pt>
                <c:pt idx="395">
                  <c:v>518.1791913776982</c:v>
                </c:pt>
                <c:pt idx="396">
                  <c:v>520.01298120107629</c:v>
                </c:pt>
                <c:pt idx="397">
                  <c:v>521.84439810943161</c:v>
                </c:pt>
                <c:pt idx="398">
                  <c:v>523.67344594662791</c:v>
                </c:pt>
                <c:pt idx="399">
                  <c:v>525.50012854439126</c:v>
                </c:pt>
                <c:pt idx="400">
                  <c:v>527.32444972236021</c:v>
                </c:pt>
                <c:pt idx="401">
                  <c:v>545.43807836727581</c:v>
                </c:pt>
                <c:pt idx="402">
                  <c:v>563.31801671721007</c:v>
                </c:pt>
                <c:pt idx="403">
                  <c:v>580.96796810169803</c:v>
                </c:pt>
                <c:pt idx="404">
                  <c:v>598.39152148103028</c:v>
                </c:pt>
                <c:pt idx="405">
                  <c:v>615.59215602771917</c:v>
                </c:pt>
                <c:pt idx="406">
                  <c:v>632.57324547682322</c:v>
                </c:pt>
                <c:pt idx="407">
                  <c:v>649.33806225903595</c:v>
                </c:pt>
                <c:pt idx="408">
                  <c:v>665.88978142947497</c:v>
                </c:pt>
                <c:pt idx="409">
                  <c:v>682.2314844042121</c:v>
                </c:pt>
                <c:pt idx="410">
                  <c:v>698.36616251576254</c:v>
                </c:pt>
                <c:pt idx="411">
                  <c:v>714.29672039798982</c:v>
                </c:pt>
                <c:pt idx="412">
                  <c:v>730.02597921018184</c:v>
                </c:pt>
                <c:pt idx="413">
                  <c:v>745.55667970940715</c:v>
                </c:pt>
                <c:pt idx="414">
                  <c:v>760.89148517965725</c:v>
                </c:pt>
                <c:pt idx="415">
                  <c:v>776.0329842257313</c:v>
                </c:pt>
                <c:pt idx="416">
                  <c:v>790.98369343930221</c:v>
                </c:pt>
                <c:pt idx="417">
                  <c:v>805.74605994412923</c:v>
                </c:pt>
                <c:pt idx="418">
                  <c:v>820.32246382694041</c:v>
                </c:pt>
                <c:pt idx="419">
                  <c:v>834.71522046009909</c:v>
                </c:pt>
                <c:pt idx="420">
                  <c:v>848.92658272178778</c:v>
                </c:pt>
                <c:pt idx="421">
                  <c:v>862.95874311909051</c:v>
                </c:pt>
                <c:pt idx="422">
                  <c:v>876.81383581902401</c:v>
                </c:pt>
                <c:pt idx="423">
                  <c:v>890.49393859226484</c:v>
                </c:pt>
                <c:pt idx="424">
                  <c:v>904.00107467403234</c:v>
                </c:pt>
                <c:pt idx="425">
                  <c:v>917.33721454632359</c:v>
                </c:pt>
                <c:pt idx="426">
                  <c:v>930.50427764544861</c:v>
                </c:pt>
                <c:pt idx="427">
                  <c:v>943.50413399858189</c:v>
                </c:pt>
                <c:pt idx="428">
                  <c:v>956.33860579283362</c:v>
                </c:pt>
                <c:pt idx="429">
                  <c:v>969.00946888013937</c:v>
                </c:pt>
                <c:pt idx="430">
                  <c:v>981.51845422108147</c:v>
                </c:pt>
                <c:pt idx="431">
                  <c:v>993.86724927057753</c:v>
                </c:pt>
                <c:pt idx="432">
                  <c:v>1006.0574993082076</c:v>
                </c:pt>
                <c:pt idx="433">
                  <c:v>1018.0908087157979</c:v>
                </c:pt>
                <c:pt idx="434">
                  <c:v>1029.9687422047332</c:v>
                </c:pt>
                <c:pt idx="435">
                  <c:v>1041.6928259953349</c:v>
                </c:pt>
                <c:pt idx="436">
                  <c:v>1053.2645489505169</c:v>
                </c:pt>
                <c:pt idx="437">
                  <c:v>1064.6853636658079</c:v>
                </c:pt>
                <c:pt idx="438">
                  <c:v>1075.9566875177225</c:v>
                </c:pt>
                <c:pt idx="439">
                  <c:v>1087.0799036723531</c:v>
                </c:pt>
                <c:pt idx="440">
                  <c:v>1098.0563620559594</c:v>
                </c:pt>
                <c:pt idx="441">
                  <c:v>1108.8873802892376</c:v>
                </c:pt>
                <c:pt idx="442">
                  <c:v>1119.5742445868666</c:v>
                </c:pt>
                <c:pt idx="443">
                  <c:v>1130.1182106238407</c:v>
                </c:pt>
                <c:pt idx="444">
                  <c:v>1140.5205043700298</c:v>
                </c:pt>
                <c:pt idx="445">
                  <c:v>1150.7823228943264</c:v>
                </c:pt>
                <c:pt idx="446">
                  <c:v>1160.9048351396739</c:v>
                </c:pt>
                <c:pt idx="447">
                  <c:v>1170.8891826702093</c:v>
                </c:pt>
                <c:pt idx="448">
                  <c:v>1180.7364803916842</c:v>
                </c:pt>
                <c:pt idx="449">
                  <c:v>1190.4478172462782</c:v>
                </c:pt>
                <c:pt idx="450">
                  <c:v>1200.0242568828603</c:v>
                </c:pt>
                <c:pt idx="451">
                  <c:v>1209.4668383037028</c:v>
                </c:pt>
                <c:pt idx="452">
                  <c:v>1218.7765764886051</c:v>
                </c:pt>
                <c:pt idx="453">
                  <c:v>1227.9544629973373</c:v>
                </c:pt>
                <c:pt idx="454">
                  <c:v>1237.0014665512708</c:v>
                </c:pt>
                <c:pt idx="455">
                  <c:v>1245.9185335950233</c:v>
                </c:pt>
                <c:pt idx="456">
                  <c:v>1254.7065888389029</c:v>
                </c:pt>
                <c:pt idx="457">
                  <c:v>1263.366535782905</c:v>
                </c:pt>
                <c:pt idx="458">
                  <c:v>1271.8992572229745</c:v>
                </c:pt>
                <c:pt idx="459">
                  <c:v>1280.3056157402184</c:v>
                </c:pt>
                <c:pt idx="460">
                  <c:v>1288.586454173718</c:v>
                </c:pt>
                <c:pt idx="461">
                  <c:v>1296.7425960775645</c:v>
                </c:pt>
                <c:pt idx="462">
                  <c:v>1304.7748461627093</c:v>
                </c:pt>
                <c:pt idx="463">
                  <c:v>1312.6839907241972</c:v>
                </c:pt>
                <c:pt idx="464">
                  <c:v>1320.470798054324</c:v>
                </c:pt>
                <c:pt idx="465">
                  <c:v>1328.1360188422348</c:v>
                </c:pt>
                <c:pt idx="466">
                  <c:v>1335.6803865604588</c:v>
                </c:pt>
                <c:pt idx="467">
                  <c:v>1343.1046178388526</c:v>
                </c:pt>
                <c:pt idx="468">
                  <c:v>1350.4094128264042</c:v>
                </c:pt>
                <c:pt idx="469">
                  <c:v>1357.5954555413316</c:v>
                </c:pt>
                <c:pt idx="470">
                  <c:v>1364.6634142098881</c:v>
                </c:pt>
                <c:pt idx="471">
                  <c:v>1371.6139415942719</c:v>
                </c:pt>
                <c:pt idx="472">
                  <c:v>1378.4476753100193</c:v>
                </c:pt>
                <c:pt idx="473">
                  <c:v>1385.1652381332449</c:v>
                </c:pt>
                <c:pt idx="474">
                  <c:v>1391.7672382980757</c:v>
                </c:pt>
                <c:pt idx="475">
                  <c:v>1398.2542697846154</c:v>
                </c:pt>
                <c:pt idx="476">
                  <c:v>1404.6269125977569</c:v>
                </c:pt>
                <c:pt idx="477">
                  <c:v>1410.8857330371502</c:v>
                </c:pt>
                <c:pt idx="478">
                  <c:v>1417.0312839586193</c:v>
                </c:pt>
                <c:pt idx="479">
                  <c:v>1423.0641050273132</c:v>
                </c:pt>
                <c:pt idx="480">
                  <c:v>1428.9847229628592</c:v>
                </c:pt>
                <c:pt idx="481">
                  <c:v>1434.7936517767803</c:v>
                </c:pt>
                <c:pt idx="482">
                  <c:v>1440.4913930024272</c:v>
                </c:pt>
                <c:pt idx="483">
                  <c:v>1446.0784359176666</c:v>
                </c:pt>
                <c:pt idx="484">
                  <c:v>1451.5552577605542</c:v>
                </c:pt>
                <c:pt idx="485">
                  <c:v>1456.9223239382197</c:v>
                </c:pt>
                <c:pt idx="486">
                  <c:v>1462.1800882291759</c:v>
                </c:pt>
                <c:pt idx="487">
                  <c:v>1467.3289929792591</c:v>
                </c:pt>
                <c:pt idx="488">
                  <c:v>1472.3694692914037</c:v>
                </c:pt>
                <c:pt idx="489">
                  <c:v>1477.3019372094404</c:v>
                </c:pt>
                <c:pt idx="490">
                  <c:v>1482.12680589611</c:v>
                </c:pt>
                <c:pt idx="491">
                  <c:v>1486.8444738054689</c:v>
                </c:pt>
                <c:pt idx="492">
                  <c:v>1491.4553288498685</c:v>
                </c:pt>
                <c:pt idx="493">
                  <c:v>1495.9597485616762</c:v>
                </c:pt>
                <c:pt idx="494">
                  <c:v>1500.3581002499068</c:v>
                </c:pt>
                <c:pt idx="495">
                  <c:v>1504.6507411519306</c:v>
                </c:pt>
                <c:pt idx="496">
                  <c:v>1508.8380185804156</c:v>
                </c:pt>
                <c:pt idx="497">
                  <c:v>1512.9202700656681</c:v>
                </c:pt>
                <c:pt idx="498">
                  <c:v>1516.8978234935262</c:v>
                </c:pt>
                <c:pt idx="499">
                  <c:v>1520.7709972389648</c:v>
                </c:pt>
                <c:pt idx="500">
                  <c:v>1524.5401002955725</c:v>
                </c:pt>
                <c:pt idx="501">
                  <c:v>1528.2054324010578</c:v>
                </c:pt>
                <c:pt idx="502">
                  <c:v>1531.7672841589506</c:v>
                </c:pt>
                <c:pt idx="503">
                  <c:v>1535.2259371566652</c:v>
                </c:pt>
                <c:pt idx="504">
                  <c:v>1538.5816640801013</c:v>
                </c:pt>
                <c:pt idx="505">
                  <c:v>1541.8347288249654</c:v>
                </c:pt>
                <c:pt idx="506">
                  <c:v>1544.9853866050082</c:v>
                </c:pt>
                <c:pt idx="507">
                  <c:v>1548.0338840573879</c:v>
                </c:pt>
                <c:pt idx="508">
                  <c:v>1550.980459345386</c:v>
                </c:pt>
                <c:pt idx="509">
                  <c:v>1553.8253422587272</c:v>
                </c:pt>
                <c:pt idx="510">
                  <c:v>1556.5687543117826</c:v>
                </c:pt>
                <c:pt idx="511">
                  <c:v>1559.2109088399668</c:v>
                </c:pt>
                <c:pt idx="512">
                  <c:v>1561.7520110946868</c:v>
                </c:pt>
                <c:pt idx="513">
                  <c:v>1564.1922583372518</c:v>
                </c:pt>
                <c:pt idx="514">
                  <c:v>1566.5318399322139</c:v>
                </c:pt>
                <c:pt idx="515">
                  <c:v>1568.7709374406902</c:v>
                </c:pt>
                <c:pt idx="516">
                  <c:v>1570.9097247143147</c:v>
                </c:pt>
                <c:pt idx="517">
                  <c:v>1572.9483679905788</c:v>
                </c:pt>
                <c:pt idx="518">
                  <c:v>1574.8870259904668</c:v>
                </c:pt>
                <c:pt idx="519">
                  <c:v>1576.7258500194598</c:v>
                </c:pt>
                <c:pt idx="520">
                  <c:v>1578.4649840731915</c:v>
                </c:pt>
                <c:pt idx="521">
                  <c:v>1580.1045649492842</c:v>
                </c:pt>
                <c:pt idx="522">
                  <c:v>1581.6447223671933</c:v>
                </c:pt>
                <c:pt idx="523">
                  <c:v>1583.0855790982318</c:v>
                </c:pt>
                <c:pt idx="524">
                  <c:v>1584.4272511083532</c:v>
                </c:pt>
                <c:pt idx="525">
                  <c:v>1585.6698477167274</c:v>
                </c:pt>
                <c:pt idx="526">
                  <c:v>1586.8134717736511</c:v>
                </c:pt>
                <c:pt idx="527">
                  <c:v>1587.8582198618694</c:v>
                </c:pt>
                <c:pt idx="528">
                  <c:v>1588.8041825259133</c:v>
                </c:pt>
                <c:pt idx="529">
                  <c:v>1589.6514445345299</c:v>
                </c:pt>
                <c:pt idx="530">
                  <c:v>1590.400085181604</c:v>
                </c:pt>
                <c:pt idx="531">
                  <c:v>1591.0501786310406</c:v>
                </c:pt>
                <c:pt idx="532">
                  <c:v>1591.6017943107449</c:v>
                </c:pt>
                <c:pt idx="533">
                  <c:v>1592.0549973599602</c:v>
                </c:pt>
                <c:pt idx="534">
                  <c:v>1592.4098491326515</c:v>
                </c:pt>
                <c:pt idx="535">
                  <c:v>1592.6664077572952</c:v>
                </c:pt>
                <c:pt idx="536">
                  <c:v>1592.8247287503809</c:v>
                </c:pt>
                <c:pt idx="537">
                  <c:v>1592.8848656773607</c:v>
                </c:pt>
                <c:pt idx="538">
                  <c:v>1592.8468708510761</c:v>
                </c:pt>
                <c:pt idx="539">
                  <c:v>1592.710796054366</c:v>
                </c:pt>
                <c:pt idx="540">
                  <c:v>1592.4766932711818</c:v>
                </c:pt>
                <c:pt idx="541">
                  <c:v>1592.1446154095174</c:v>
                </c:pt>
                <c:pt idx="542">
                  <c:v>1591.7146170000328</c:v>
                </c:pt>
                <c:pt idx="543">
                  <c:v>1591.1867548562786</c:v>
                </c:pt>
                <c:pt idx="544">
                  <c:v>1590.5610886855379</c:v>
                </c:pt>
                <c:pt idx="545">
                  <c:v>1589.8376816429675</c:v>
                </c:pt>
                <c:pt idx="546">
                  <c:v>1589.0166008253866</c:v>
                </c:pt>
                <c:pt idx="547">
                  <c:v>1588.0979177042952</c:v>
                </c:pt>
                <c:pt idx="548">
                  <c:v>1587.0817085002618</c:v>
                </c:pt>
                <c:pt idx="549">
                  <c:v>1585.9680545026024</c:v>
                </c:pt>
                <c:pt idx="550">
                  <c:v>1584.7570423393342</c:v>
                </c:pt>
                <c:pt idx="551">
                  <c:v>1583.4487642028532</c:v>
                </c:pt>
                <c:pt idx="552">
                  <c:v>1582.0433180368077</c:v>
                </c:pt>
                <c:pt idx="553">
                  <c:v>1580.5408076893648</c:v>
                </c:pt>
                <c:pt idx="554">
                  <c:v>1578.9413430376242</c:v>
                </c:pt>
                <c:pt idx="555">
                  <c:v>1577.2450400873997</c:v>
                </c:pt>
                <c:pt idx="556">
                  <c:v>1575.4520210520507</c:v>
                </c:pt>
                <c:pt idx="557">
                  <c:v>1573.5624144135168</c:v>
                </c:pt>
                <c:pt idx="558">
                  <c:v>1571.5763549682363</c:v>
                </c:pt>
                <c:pt idx="559">
                  <c:v>1569.4939838602018</c:v>
                </c:pt>
                <c:pt idx="560">
                  <c:v>1567.3154486030382</c:v>
                </c:pt>
                <c:pt idx="561">
                  <c:v>1565.0409030926824</c:v>
                </c:pt>
                <c:pt idx="562">
                  <c:v>1562.6705076119686</c:v>
                </c:pt>
                <c:pt idx="563">
                  <c:v>1560.2044288282166</c:v>
                </c:pt>
                <c:pt idx="564">
                  <c:v>1557.6428397847255</c:v>
                </c:pt>
                <c:pt idx="565">
                  <c:v>1554.985919886931</c:v>
                </c:pt>
                <c:pt idx="566">
                  <c:v>1552.2338548838559</c:v>
                </c:pt>
                <c:pt idx="567">
                  <c:v>1549.3868368453836</c:v>
                </c:pt>
                <c:pt idx="568">
                  <c:v>1546.4450641357967</c:v>
                </c:pt>
                <c:pt idx="569">
                  <c:v>1543.4087413839522</c:v>
                </c:pt>
                <c:pt idx="570">
                  <c:v>1540.2780794504142</c:v>
                </c:pt>
                <c:pt idx="571">
                  <c:v>1537.0532953918052</c:v>
                </c:pt>
                <c:pt idx="572">
                  <c:v>1533.7346124226115</c:v>
                </c:pt>
                <c:pt idx="573">
                  <c:v>1530.3222598746349</c:v>
                </c:pt>
                <c:pt idx="574">
                  <c:v>1526.8164731542631</c:v>
                </c:pt>
                <c:pt idx="575">
                  <c:v>1523.2174936977035</c:v>
                </c:pt>
                <c:pt idx="576">
                  <c:v>1519.5255689243108</c:v>
                </c:pt>
                <c:pt idx="577">
                  <c:v>1515.740952188122</c:v>
                </c:pt>
                <c:pt idx="578">
                  <c:v>1511.8639027276972</c:v>
                </c:pt>
                <c:pt idx="579">
                  <c:v>1507.8946856143568</c:v>
                </c:pt>
                <c:pt idx="580">
                  <c:v>1503.8335716988954</c:v>
                </c:pt>
                <c:pt idx="581">
                  <c:v>1499.6808375568451</c:v>
                </c:pt>
                <c:pt idx="582">
                  <c:v>1495.4367654323542</c:v>
                </c:pt>
                <c:pt idx="583">
                  <c:v>1491.1016431807418</c:v>
                </c:pt>
                <c:pt idx="584">
                  <c:v>1486.6757642097862</c:v>
                </c:pt>
                <c:pt idx="585">
                  <c:v>1482.1594274197973</c:v>
                </c:pt>
                <c:pt idx="586">
                  <c:v>1477.5529371425243</c:v>
                </c:pt>
                <c:pt idx="587">
                  <c:v>1472.8566030789432</c:v>
                </c:pt>
                <c:pt idx="588">
                  <c:v>1468.0707402359697</c:v>
                </c:pt>
                <c:pt idx="589">
                  <c:v>1463.1956688621385</c:v>
                </c:pt>
                <c:pt idx="590">
                  <c:v>1458.2317143822895</c:v>
                </c:pt>
                <c:pt idx="591">
                  <c:v>1453.1792073312995</c:v>
                </c:pt>
                <c:pt idx="592">
                  <c:v>1448.0384832868974</c:v>
                </c:pt>
                <c:pt idx="593">
                  <c:v>1442.8098828015993</c:v>
                </c:pt>
                <c:pt idx="594">
                  <c:v>1437.4937513337979</c:v>
                </c:pt>
                <c:pt idx="595">
                  <c:v>1432.0904391780427</c:v>
                </c:pt>
                <c:pt idx="596">
                  <c:v>1426.6003013945433</c:v>
                </c:pt>
                <c:pt idx="597">
                  <c:v>1421.0236977379298</c:v>
                </c:pt>
                <c:pt idx="598">
                  <c:v>1415.3609925853034</c:v>
                </c:pt>
                <c:pt idx="599">
                  <c:v>1409.6125548636094</c:v>
                </c:pt>
                <c:pt idx="600">
                  <c:v>1403.778757976364</c:v>
                </c:pt>
                <c:pt idx="601">
                  <c:v>1397.8599797297663</c:v>
                </c:pt>
                <c:pt idx="602">
                  <c:v>1391.8566022582283</c:v>
                </c:pt>
                <c:pt idx="603">
                  <c:v>1385.7690119493514</c:v>
                </c:pt>
                <c:pt idx="604">
                  <c:v>1379.5975993683812</c:v>
                </c:pt>
                <c:pt idx="605">
                  <c:v>1373.3427591821721</c:v>
                </c:pt>
                <c:pt idx="606">
                  <c:v>1367.0048900826882</c:v>
                </c:pt>
                <c:pt idx="607">
                  <c:v>1360.5843947100743</c:v>
                </c:pt>
                <c:pt idx="608">
                  <c:v>1354.081679575324</c:v>
                </c:pt>
                <c:pt idx="609">
                  <c:v>1347.4971549825741</c:v>
                </c:pt>
                <c:pt idx="610">
                  <c:v>1340.8312349510568</c:v>
                </c:pt>
                <c:pt idx="611">
                  <c:v>1334.084337136735</c:v>
                </c:pt>
                <c:pt idx="612">
                  <c:v>1327.2568827536529</c:v>
                </c:pt>
                <c:pt idx="613">
                  <c:v>1320.3492964950271</c:v>
                </c:pt>
                <c:pt idx="614">
                  <c:v>1313.3620064541085</c:v>
                </c:pt>
                <c:pt idx="615">
                  <c:v>1306.295444044842</c:v>
                </c:pt>
                <c:pt idx="616">
                  <c:v>1299.1500439223519</c:v>
                </c:pt>
                <c:pt idx="617">
                  <c:v>1291.9262439032798</c:v>
                </c:pt>
                <c:pt idx="618">
                  <c:v>1284.6244848860044</c:v>
                </c:pt>
                <c:pt idx="619">
                  <c:v>1277.2452107707661</c:v>
                </c:pt>
                <c:pt idx="620">
                  <c:v>1269.7888683797266</c:v>
                </c:pt>
                <c:pt idx="621">
                  <c:v>1262.2559073769892</c:v>
                </c:pt>
                <c:pt idx="622">
                  <c:v>1254.6467801886038</c:v>
                </c:pt>
                <c:pt idx="623">
                  <c:v>1246.9619419225851</c:v>
                </c:pt>
                <c:pt idx="624">
                  <c:v>1239.2018502889675</c:v>
                </c:pt>
                <c:pt idx="625">
                  <c:v>1231.3669655199242</c:v>
                </c:pt>
                <c:pt idx="626">
                  <c:v>1223.457750289971</c:v>
                </c:pt>
                <c:pt idx="627">
                  <c:v>1215.4746696362863</c:v>
                </c:pt>
                <c:pt idx="628">
                  <c:v>1207.4181908791631</c:v>
                </c:pt>
                <c:pt idx="629">
                  <c:v>1199.2887835426257</c:v>
                </c:pt>
                <c:pt idx="630">
                  <c:v>1191.0869192752264</c:v>
                </c:pt>
                <c:pt idx="631">
                  <c:v>1182.8130717710524</c:v>
                </c:pt>
                <c:pt idx="632">
                  <c:v>1174.467716690961</c:v>
                </c:pt>
                <c:pt idx="633">
                  <c:v>1166.0513315840678</c:v>
                </c:pt>
                <c:pt idx="634">
                  <c:v>1157.5643958095104</c:v>
                </c:pt>
                <c:pt idx="635">
                  <c:v>1149.0073904585065</c:v>
                </c:pt>
                <c:pt idx="636">
                  <c:v>1140.3807982767325</c:v>
                </c:pt>
                <c:pt idx="637">
                  <c:v>1131.6851035870388</c:v>
                </c:pt>
                <c:pt idx="638">
                  <c:v>1122.9207922125261</c:v>
                </c:pt>
                <c:pt idx="639">
                  <c:v>1114.0883514000002</c:v>
                </c:pt>
                <c:pt idx="640">
                  <c:v>1105.1882697438273</c:v>
                </c:pt>
                <c:pt idx="641">
                  <c:v>1096.2210371102076</c:v>
                </c:pt>
                <c:pt idx="642">
                  <c:v>1087.1871445618872</c:v>
                </c:pt>
                <c:pt idx="643">
                  <c:v>1078.0870842833267</c:v>
                </c:pt>
                <c:pt idx="644">
                  <c:v>1068.9213495063434</c:v>
                </c:pt>
                <c:pt idx="645">
                  <c:v>1059.6904344362472</c:v>
                </c:pt>
                <c:pt idx="646">
                  <c:v>1050.3948341784856</c:v>
                </c:pt>
                <c:pt idx="647">
                  <c:v>1041.0350446658153</c:v>
                </c:pt>
                <c:pt idx="648">
                  <c:v>1031.6115625860173</c:v>
                </c:pt>
                <c:pt idx="649">
                  <c:v>1022.1248853101699</c:v>
                </c:pt>
                <c:pt idx="650">
                  <c:v>1012.575510821498</c:v>
                </c:pt>
                <c:pt idx="651">
                  <c:v>1002.9639376448107</c:v>
                </c:pt>
                <c:pt idx="652">
                  <c:v>993.29066477654419</c:v>
                </c:pt>
                <c:pt idx="653">
                  <c:v>983.55619161542302</c:v>
                </c:pt>
                <c:pt idx="654">
                  <c:v>973.76101789375389</c:v>
                </c:pt>
                <c:pt idx="655">
                  <c:v>963.9056436093656</c:v>
                </c:pt>
                <c:pt idx="656">
                  <c:v>953.99056895820729</c:v>
                </c:pt>
                <c:pt idx="657">
                  <c:v>944.01629426761849</c:v>
                </c:pt>
                <c:pt idx="658">
                  <c:v>933.98331993028205</c:v>
                </c:pt>
                <c:pt idx="659">
                  <c:v>923.89214633887218</c:v>
                </c:pt>
                <c:pt idx="660">
                  <c:v>913.74327382140814</c:v>
                </c:pt>
                <c:pt idx="661">
                  <c:v>903.53720257732516</c:v>
                </c:pt>
                <c:pt idx="662">
                  <c:v>893.2744326142722</c:v>
                </c:pt>
                <c:pt idx="663">
                  <c:v>882.95546368564612</c:v>
                </c:pt>
                <c:pt idx="664">
                  <c:v>872.58079522887238</c:v>
                </c:pt>
                <c:pt idx="665">
                  <c:v>862.15092630444065</c:v>
                </c:pt>
                <c:pt idx="666">
                  <c:v>851.66635553570438</c:v>
                </c:pt>
                <c:pt idx="667">
                  <c:v>841.12758104945158</c:v>
                </c:pt>
                <c:pt idx="668">
                  <c:v>830.53510041725531</c:v>
                </c:pt>
                <c:pt idx="669">
                  <c:v>819.88941059761066</c:v>
                </c:pt>
                <c:pt idx="670">
                  <c:v>809.19100787886487</c:v>
                </c:pt>
                <c:pt idx="671">
                  <c:v>798.44038782294763</c:v>
                </c:pt>
                <c:pt idx="672">
                  <c:v>787.63804520990686</c:v>
                </c:pt>
                <c:pt idx="673">
                  <c:v>776.78447398325591</c:v>
                </c:pt>
                <c:pt idx="674">
                  <c:v>765.88016719613665</c:v>
                </c:pt>
                <c:pt idx="675">
                  <c:v>754.92561695830489</c:v>
                </c:pt>
                <c:pt idx="676">
                  <c:v>743.92131438394006</c:v>
                </c:pt>
                <c:pt idx="677">
                  <c:v>732.86774954028544</c:v>
                </c:pt>
                <c:pt idx="678">
                  <c:v>721.7654113971206</c:v>
                </c:pt>
                <c:pt idx="679">
                  <c:v>710.61478777707066</c:v>
                </c:pt>
                <c:pt idx="680">
                  <c:v>699.41636530675441</c:v>
                </c:pt>
                <c:pt idx="681">
                  <c:v>688.17062936877369</c:v>
                </c:pt>
                <c:pt idx="682">
                  <c:v>676.87806405454683</c:v>
                </c:pt>
                <c:pt idx="683">
                  <c:v>665.53915211798653</c:v>
                </c:pt>
                <c:pt idx="684">
                  <c:v>654.15437493002503</c:v>
                </c:pt>
                <c:pt idx="685">
                  <c:v>642.72421243398628</c:v>
                </c:pt>
                <c:pt idx="686">
                  <c:v>631.24914310180691</c:v>
                </c:pt>
                <c:pt idx="687">
                  <c:v>619.72964389110473</c:v>
                </c:pt>
                <c:pt idx="688">
                  <c:v>608.16619020309668</c:v>
                </c:pt>
                <c:pt idx="689">
                  <c:v>596.55925584136423</c:v>
                </c:pt>
                <c:pt idx="690">
                  <c:v>584.90931297146608</c:v>
                </c:pt>
                <c:pt idx="691">
                  <c:v>573.2168320813978</c:v>
                </c:pt>
                <c:pt idx="692">
                  <c:v>561.48228194289595</c:v>
                </c:pt>
                <c:pt idx="693">
                  <c:v>549.70612957358617</c:v>
                </c:pt>
                <c:pt idx="694">
                  <c:v>537.88884019997215</c:v>
                </c:pt>
                <c:pt idx="695">
                  <c:v>526.03087722126452</c:v>
                </c:pt>
                <c:pt idx="696">
                  <c:v>514.13270217404636</c:v>
                </c:pt>
                <c:pt idx="697">
                  <c:v>502.19477469777269</c:v>
                </c:pt>
                <c:pt idx="698">
                  <c:v>490.2175525011009</c:v>
                </c:pt>
                <c:pt idx="699">
                  <c:v>478.20149132904936</c:v>
                </c:pt>
                <c:pt idx="700">
                  <c:v>466.14704493097975</c:v>
                </c:pt>
                <c:pt idx="701">
                  <c:v>454.05466502939987</c:v>
                </c:pt>
                <c:pt idx="702">
                  <c:v>441.92480128958294</c:v>
                </c:pt>
                <c:pt idx="703">
                  <c:v>429.75790128999876</c:v>
                </c:pt>
                <c:pt idx="704">
                  <c:v>417.55441049355227</c:v>
                </c:pt>
                <c:pt idx="705">
                  <c:v>405.31477221962513</c:v>
                </c:pt>
                <c:pt idx="706">
                  <c:v>393.03942761691508</c:v>
                </c:pt>
                <c:pt idx="707">
                  <c:v>380.72881563706756</c:v>
                </c:pt>
                <c:pt idx="708">
                  <c:v>368.38337300909512</c:v>
                </c:pt>
                <c:pt idx="709">
                  <c:v>356.00353421457817</c:v>
                </c:pt>
                <c:pt idx="710">
                  <c:v>343.58973146364167</c:v>
                </c:pt>
                <c:pt idx="711">
                  <c:v>331.14239467170205</c:v>
                </c:pt>
                <c:pt idx="712">
                  <c:v>318.66195143697769</c:v>
                </c:pt>
                <c:pt idx="713">
                  <c:v>306.14882701875717</c:v>
                </c:pt>
                <c:pt idx="714">
                  <c:v>293.60344431641857</c:v>
                </c:pt>
                <c:pt idx="715">
                  <c:v>281.02622384919334</c:v>
                </c:pt>
                <c:pt idx="716">
                  <c:v>268.41758373666784</c:v>
                </c:pt>
                <c:pt idx="717">
                  <c:v>255.77793968001561</c:v>
                </c:pt>
                <c:pt idx="718">
                  <c:v>243.10770494395373</c:v>
                </c:pt>
                <c:pt idx="719">
                  <c:v>230.40729033941557</c:v>
                </c:pt>
                <c:pt idx="720">
                  <c:v>217.67710420693271</c:v>
                </c:pt>
                <c:pt idx="721">
                  <c:v>204.91755240071916</c:v>
                </c:pt>
                <c:pt idx="722">
                  <c:v>192.12903827344942</c:v>
                </c:pt>
                <c:pt idx="723">
                  <c:v>179.31196266172367</c:v>
                </c:pt>
                <c:pt idx="724">
                  <c:v>166.46672387221156</c:v>
                </c:pt>
                <c:pt idx="725">
                  <c:v>153.59371766846726</c:v>
                </c:pt>
                <c:pt idx="726">
                  <c:v>140.69333725840767</c:v>
                </c:pt>
                <c:pt idx="727">
                  <c:v>127.76597328244571</c:v>
                </c:pt>
                <c:pt idx="728">
                  <c:v>114.81201380227068</c:v>
                </c:pt>
                <c:pt idx="729">
                  <c:v>101.83184429026741</c:v>
                </c:pt>
                <c:pt idx="730">
                  <c:v>88.825847619566105</c:v>
                </c:pt>
                <c:pt idx="731">
                  <c:v>75.794404054714477</c:v>
                </c:pt>
                <c:pt idx="732">
                  <c:v>62.737891242963798</c:v>
                </c:pt>
                <c:pt idx="733">
                  <c:v>49.656684206160456</c:v>
                </c:pt>
                <c:pt idx="734">
                  <c:v>36.551155333234618</c:v>
                </c:pt>
                <c:pt idx="735">
                  <c:v>23.421674373277419</c:v>
                </c:pt>
                <c:pt idx="736">
                  <c:v>10.268608429198123</c:v>
                </c:pt>
                <c:pt idx="737">
                  <c:v>-2.907678048047261</c:v>
                </c:pt>
                <c:pt idx="738">
                  <c:v>-2.9208658653494415</c:v>
                </c:pt>
                <c:pt idx="739">
                  <c:v>-2.9340537053299505</c:v>
                </c:pt>
                <c:pt idx="740">
                  <c:v>-2.9472415679884314</c:v>
                </c:pt>
                <c:pt idx="741">
                  <c:v>-2.9604294533245268</c:v>
                </c:pt>
                <c:pt idx="742">
                  <c:v>-2.97361736133788</c:v>
                </c:pt>
                <c:pt idx="743">
                  <c:v>-2.9868052920281336</c:v>
                </c:pt>
                <c:pt idx="744">
                  <c:v>-2.999993245394931</c:v>
                </c:pt>
                <c:pt idx="745">
                  <c:v>-3.0131812214379146</c:v>
                </c:pt>
                <c:pt idx="746">
                  <c:v>-3.0263692201567274</c:v>
                </c:pt>
                <c:pt idx="747">
                  <c:v>-3.0395572415510124</c:v>
                </c:pt>
                <c:pt idx="748">
                  <c:v>-3.0527452856204129</c:v>
                </c:pt>
                <c:pt idx="749">
                  <c:v>-3.0659333523645715</c:v>
                </c:pt>
                <c:pt idx="750">
                  <c:v>-3.0791214417831312</c:v>
                </c:pt>
                <c:pt idx="751">
                  <c:v>-3.0923095538757348</c:v>
                </c:pt>
                <c:pt idx="752">
                  <c:v>-3.1054976886420254</c:v>
                </c:pt>
                <c:pt idx="753">
                  <c:v>-3.1186858460816458</c:v>
                </c:pt>
                <c:pt idx="754">
                  <c:v>-3.131874026194239</c:v>
                </c:pt>
                <c:pt idx="755">
                  <c:v>-3.1450622289794485</c:v>
                </c:pt>
                <c:pt idx="756">
                  <c:v>-3.1582504544369168</c:v>
                </c:pt>
                <c:pt idx="757">
                  <c:v>-3.1714387025662867</c:v>
                </c:pt>
                <c:pt idx="758">
                  <c:v>-3.1846269733672012</c:v>
                </c:pt>
                <c:pt idx="759">
                  <c:v>-3.1978152668393038</c:v>
                </c:pt>
                <c:pt idx="760">
                  <c:v>-3.211003582982237</c:v>
                </c:pt>
                <c:pt idx="761">
                  <c:v>-3.2241919217956436</c:v>
                </c:pt>
                <c:pt idx="762">
                  <c:v>-3.2373802832791672</c:v>
                </c:pt>
                <c:pt idx="763">
                  <c:v>-3.2505686674324501</c:v>
                </c:pt>
                <c:pt idx="764">
                  <c:v>-3.2637570742551358</c:v>
                </c:pt>
                <c:pt idx="765">
                  <c:v>-3.2769455037468669</c:v>
                </c:pt>
                <c:pt idx="766">
                  <c:v>-3.2901339559072866</c:v>
                </c:pt>
                <c:pt idx="767">
                  <c:v>-3.303322430736038</c:v>
                </c:pt>
                <c:pt idx="768">
                  <c:v>-3.3165109282327641</c:v>
                </c:pt>
                <c:pt idx="769">
                  <c:v>-3.3296994483971076</c:v>
                </c:pt>
                <c:pt idx="770">
                  <c:v>-3.3428879912287117</c:v>
                </c:pt>
                <c:pt idx="771">
                  <c:v>-3.3560765567272193</c:v>
                </c:pt>
                <c:pt idx="772">
                  <c:v>-3.3692651448922737</c:v>
                </c:pt>
                <c:pt idx="773">
                  <c:v>-3.3824537557235175</c:v>
                </c:pt>
                <c:pt idx="774">
                  <c:v>-3.395642389220594</c:v>
                </c:pt>
                <c:pt idx="775">
                  <c:v>-3.4088310453831459</c:v>
                </c:pt>
                <c:pt idx="776">
                  <c:v>-3.4220197242108163</c:v>
                </c:pt>
                <c:pt idx="777">
                  <c:v>-3.4352084257032485</c:v>
                </c:pt>
                <c:pt idx="778">
                  <c:v>-3.4483971498600852</c:v>
                </c:pt>
                <c:pt idx="779">
                  <c:v>-3.4615858966809698</c:v>
                </c:pt>
                <c:pt idx="780">
                  <c:v>-3.474774666165545</c:v>
                </c:pt>
                <c:pt idx="781">
                  <c:v>-3.487963458313454</c:v>
                </c:pt>
                <c:pt idx="782">
                  <c:v>-3.5011522731243394</c:v>
                </c:pt>
                <c:pt idx="783">
                  <c:v>-3.5143411105978446</c:v>
                </c:pt>
                <c:pt idx="784">
                  <c:v>-3.527529970733613</c:v>
                </c:pt>
                <c:pt idx="785">
                  <c:v>-3.540718853531287</c:v>
                </c:pt>
                <c:pt idx="786">
                  <c:v>-3.5539077589905101</c:v>
                </c:pt>
                <c:pt idx="787">
                  <c:v>-3.5670966871109249</c:v>
                </c:pt>
                <c:pt idx="788">
                  <c:v>-3.5802856378921746</c:v>
                </c:pt>
                <c:pt idx="789">
                  <c:v>-3.5934746113339022</c:v>
                </c:pt>
                <c:pt idx="790">
                  <c:v>-3.6066636074357512</c:v>
                </c:pt>
                <c:pt idx="791">
                  <c:v>-3.6198526261973645</c:v>
                </c:pt>
                <c:pt idx="792">
                  <c:v>-3.6330416676183845</c:v>
                </c:pt>
                <c:pt idx="793">
                  <c:v>-3.6462307316984552</c:v>
                </c:pt>
                <c:pt idx="794">
                  <c:v>-3.6594198184372191</c:v>
                </c:pt>
                <c:pt idx="795">
                  <c:v>-3.6726089278343195</c:v>
                </c:pt>
                <c:pt idx="796">
                  <c:v>-3.6857980598893989</c:v>
                </c:pt>
                <c:pt idx="797">
                  <c:v>-3.6989872146021012</c:v>
                </c:pt>
                <c:pt idx="798">
                  <c:v>-3.7121763919720689</c:v>
                </c:pt>
                <c:pt idx="799">
                  <c:v>-3.7253655919989455</c:v>
                </c:pt>
                <c:pt idx="800">
                  <c:v>-3.7385548146823737</c:v>
                </c:pt>
                <c:pt idx="801">
                  <c:v>-3.7517440600219967</c:v>
                </c:pt>
                <c:pt idx="802">
                  <c:v>-3.7649333280174573</c:v>
                </c:pt>
                <c:pt idx="803">
                  <c:v>-3.7781226186683989</c:v>
                </c:pt>
                <c:pt idx="804">
                  <c:v>-3.7913119319744646</c:v>
                </c:pt>
                <c:pt idx="805">
                  <c:v>-3.8045012679352976</c:v>
                </c:pt>
                <c:pt idx="806">
                  <c:v>-3.817690626550541</c:v>
                </c:pt>
                <c:pt idx="807">
                  <c:v>-3.8308800078198377</c:v>
                </c:pt>
                <c:pt idx="808">
                  <c:v>-3.8440694117428307</c:v>
                </c:pt>
                <c:pt idx="809">
                  <c:v>-3.8572588383191633</c:v>
                </c:pt>
                <c:pt idx="810">
                  <c:v>-3.8704482875484785</c:v>
                </c:pt>
                <c:pt idx="811">
                  <c:v>-3.8836377594304197</c:v>
                </c:pt>
                <c:pt idx="812">
                  <c:v>-3.8968272539646294</c:v>
                </c:pt>
                <c:pt idx="813">
                  <c:v>-3.9100167711507514</c:v>
                </c:pt>
                <c:pt idx="814">
                  <c:v>-3.9232063109884283</c:v>
                </c:pt>
                <c:pt idx="815">
                  <c:v>-3.9363958734773035</c:v>
                </c:pt>
                <c:pt idx="816">
                  <c:v>-3.9495854586170198</c:v>
                </c:pt>
                <c:pt idx="817">
                  <c:v>-3.9627750664072208</c:v>
                </c:pt>
                <c:pt idx="818">
                  <c:v>-3.9759646968475493</c:v>
                </c:pt>
                <c:pt idx="819">
                  <c:v>-3.9891543499376483</c:v>
                </c:pt>
                <c:pt idx="820">
                  <c:v>-4.0023440256771616</c:v>
                </c:pt>
                <c:pt idx="821">
                  <c:v>-4.0155337240657314</c:v>
                </c:pt>
                <c:pt idx="822">
                  <c:v>-4.0287234451030018</c:v>
                </c:pt>
                <c:pt idx="823">
                  <c:v>-4.0419131887886151</c:v>
                </c:pt>
                <c:pt idx="824">
                  <c:v>-4.0551029551222149</c:v>
                </c:pt>
                <c:pt idx="825">
                  <c:v>-4.0682927441034442</c:v>
                </c:pt>
                <c:pt idx="826">
                  <c:v>-4.0814825557319461</c:v>
                </c:pt>
                <c:pt idx="827">
                  <c:v>-4.0946723900073634</c:v>
                </c:pt>
                <c:pt idx="828">
                  <c:v>-4.10786224692934</c:v>
                </c:pt>
                <c:pt idx="829">
                  <c:v>-4.1210521264975188</c:v>
                </c:pt>
                <c:pt idx="830">
                  <c:v>-4.1342420287115429</c:v>
                </c:pt>
                <c:pt idx="831">
                  <c:v>-4.1474319535710551</c:v>
                </c:pt>
                <c:pt idx="832">
                  <c:v>-4.1606219010756993</c:v>
                </c:pt>
                <c:pt idx="833">
                  <c:v>-4.1738118712251184</c:v>
                </c:pt>
                <c:pt idx="834">
                  <c:v>-4.1870018640189555</c:v>
                </c:pt>
                <c:pt idx="835">
                  <c:v>-4.2001918794568533</c:v>
                </c:pt>
                <c:pt idx="836">
                  <c:v>-4.2133819175384559</c:v>
                </c:pt>
                <c:pt idx="837">
                  <c:v>-4.2265719782634052</c:v>
                </c:pt>
                <c:pt idx="838">
                  <c:v>-4.2397620616313452</c:v>
                </c:pt>
                <c:pt idx="839">
                  <c:v>-4.2529521676419195</c:v>
                </c:pt>
                <c:pt idx="840">
                  <c:v>-4.2661422962947704</c:v>
                </c:pt>
                <c:pt idx="841">
                  <c:v>-4.2793324475895416</c:v>
                </c:pt>
                <c:pt idx="842">
                  <c:v>-4.292522621525876</c:v>
                </c:pt>
                <c:pt idx="843">
                  <c:v>-4.3057128181034177</c:v>
                </c:pt>
                <c:pt idx="844">
                  <c:v>-4.3189030373218085</c:v>
                </c:pt>
                <c:pt idx="845">
                  <c:v>-4.3320932791806923</c:v>
                </c:pt>
                <c:pt idx="846">
                  <c:v>-4.3452835436797121</c:v>
                </c:pt>
                <c:pt idx="847">
                  <c:v>-4.3584738308185118</c:v>
                </c:pt>
                <c:pt idx="848">
                  <c:v>-4.3716641405967334</c:v>
                </c:pt>
                <c:pt idx="849">
                  <c:v>-4.3848544730140206</c:v>
                </c:pt>
                <c:pt idx="850">
                  <c:v>-4.3980448280700175</c:v>
                </c:pt>
                <c:pt idx="851">
                  <c:v>-4.411235205764366</c:v>
                </c:pt>
                <c:pt idx="852">
                  <c:v>-4.42442560609671</c:v>
                </c:pt>
                <c:pt idx="853">
                  <c:v>-4.4376160290666933</c:v>
                </c:pt>
                <c:pt idx="854">
                  <c:v>-4.450806474673958</c:v>
                </c:pt>
                <c:pt idx="855">
                  <c:v>-4.4639969429181479</c:v>
                </c:pt>
                <c:pt idx="856">
                  <c:v>-4.4771874337989059</c:v>
                </c:pt>
                <c:pt idx="857">
                  <c:v>-4.4903779473158751</c:v>
                </c:pt>
                <c:pt idx="858">
                  <c:v>-4.5035684834686993</c:v>
                </c:pt>
                <c:pt idx="859">
                  <c:v>-4.5167590422570214</c:v>
                </c:pt>
                <c:pt idx="860">
                  <c:v>-4.5299496236804853</c:v>
                </c:pt>
                <c:pt idx="861">
                  <c:v>-4.5431402277387329</c:v>
                </c:pt>
                <c:pt idx="862">
                  <c:v>-4.5563308544314083</c:v>
                </c:pt>
                <c:pt idx="863">
                  <c:v>-4.5695215037581551</c:v>
                </c:pt>
                <c:pt idx="864">
                  <c:v>-4.5827121757186156</c:v>
                </c:pt>
                <c:pt idx="865">
                  <c:v>-4.5959028703124334</c:v>
                </c:pt>
                <c:pt idx="866">
                  <c:v>-4.6090935875392525</c:v>
                </c:pt>
                <c:pt idx="867">
                  <c:v>-4.6222843273987149</c:v>
                </c:pt>
                <c:pt idx="868">
                  <c:v>-4.6354750898904644</c:v>
                </c:pt>
                <c:pt idx="869">
                  <c:v>-4.648665875014145</c:v>
                </c:pt>
                <c:pt idx="870">
                  <c:v>-4.6618566827693995</c:v>
                </c:pt>
                <c:pt idx="871">
                  <c:v>-4.6750475131558709</c:v>
                </c:pt>
                <c:pt idx="872">
                  <c:v>-4.6882383661732021</c:v>
                </c:pt>
                <c:pt idx="873">
                  <c:v>-4.7014292418210371</c:v>
                </c:pt>
                <c:pt idx="874">
                  <c:v>-4.7146201400990186</c:v>
                </c:pt>
                <c:pt idx="875">
                  <c:v>-4.7278110610067907</c:v>
                </c:pt>
                <c:pt idx="876">
                  <c:v>-4.7410020045439953</c:v>
                </c:pt>
                <c:pt idx="877">
                  <c:v>-4.7541929707102772</c:v>
                </c:pt>
                <c:pt idx="878">
                  <c:v>-4.7673839595052785</c:v>
                </c:pt>
                <c:pt idx="879">
                  <c:v>-4.7805749709286429</c:v>
                </c:pt>
                <c:pt idx="880">
                  <c:v>-4.7937660049800144</c:v>
                </c:pt>
                <c:pt idx="881">
                  <c:v>-4.8069570616590349</c:v>
                </c:pt>
                <c:pt idx="882">
                  <c:v>-4.8201481409653493</c:v>
                </c:pt>
                <c:pt idx="883">
                  <c:v>-4.8333392428985995</c:v>
                </c:pt>
                <c:pt idx="884">
                  <c:v>-4.8465303674584295</c:v>
                </c:pt>
                <c:pt idx="885">
                  <c:v>-4.8597215146444821</c:v>
                </c:pt>
                <c:pt idx="886">
                  <c:v>-4.8729126844564012</c:v>
                </c:pt>
                <c:pt idx="887">
                  <c:v>-4.8861038768938299</c:v>
                </c:pt>
                <c:pt idx="888">
                  <c:v>-4.8992950919564118</c:v>
                </c:pt>
                <c:pt idx="889">
                  <c:v>-4.91248632964379</c:v>
                </c:pt>
                <c:pt idx="890">
                  <c:v>-4.9256775899556073</c:v>
                </c:pt>
                <c:pt idx="891">
                  <c:v>-4.9388688728915078</c:v>
                </c:pt>
                <c:pt idx="892">
                  <c:v>-4.9520601784511342</c:v>
                </c:pt>
                <c:pt idx="893">
                  <c:v>-4.9652515066341296</c:v>
                </c:pt>
                <c:pt idx="894">
                  <c:v>-4.9784428574401378</c:v>
                </c:pt>
                <c:pt idx="895">
                  <c:v>-4.9916342308688026</c:v>
                </c:pt>
                <c:pt idx="896">
                  <c:v>-5.0048256269197671</c:v>
                </c:pt>
                <c:pt idx="897">
                  <c:v>-5.018017045592674</c:v>
                </c:pt>
                <c:pt idx="898">
                  <c:v>-5.0312084868871674</c:v>
                </c:pt>
                <c:pt idx="899">
                  <c:v>-5.0443999508028901</c:v>
                </c:pt>
                <c:pt idx="900">
                  <c:v>-5.057591437339485</c:v>
                </c:pt>
                <c:pt idx="901">
                  <c:v>-5.0707829464965961</c:v>
                </c:pt>
                <c:pt idx="902">
                  <c:v>-5.0839744782738672</c:v>
                </c:pt>
                <c:pt idx="903">
                  <c:v>-5.0971660326709411</c:v>
                </c:pt>
                <c:pt idx="904">
                  <c:v>-5.110357609687461</c:v>
                </c:pt>
                <c:pt idx="905">
                  <c:v>-5.1235492093230706</c:v>
                </c:pt>
                <c:pt idx="906">
                  <c:v>-5.1367408315774128</c:v>
                </c:pt>
                <c:pt idx="907">
                  <c:v>-5.1499324764501315</c:v>
                </c:pt>
                <c:pt idx="908">
                  <c:v>-5.1631241439408697</c:v>
                </c:pt>
                <c:pt idx="909">
                  <c:v>-5.1763158340492712</c:v>
                </c:pt>
                <c:pt idx="910">
                  <c:v>-5.1895075467749789</c:v>
                </c:pt>
                <c:pt idx="911">
                  <c:v>-5.2026992821176368</c:v>
                </c:pt>
                <c:pt idx="912">
                  <c:v>-5.2158910400768876</c:v>
                </c:pt>
                <c:pt idx="913">
                  <c:v>-5.2290828206523745</c:v>
                </c:pt>
                <c:pt idx="914">
                  <c:v>-5.2422746238437412</c:v>
                </c:pt>
                <c:pt idx="915">
                  <c:v>-5.2554664496506316</c:v>
                </c:pt>
                <c:pt idx="916">
                  <c:v>-5.2686582980726886</c:v>
                </c:pt>
                <c:pt idx="917">
                  <c:v>-5.2818501691095552</c:v>
                </c:pt>
                <c:pt idx="918">
                  <c:v>-5.2950420627608752</c:v>
                </c:pt>
                <c:pt idx="919">
                  <c:v>-5.3082339790262925</c:v>
                </c:pt>
                <c:pt idx="920">
                  <c:v>-5.3214259179054499</c:v>
                </c:pt>
                <c:pt idx="921">
                  <c:v>-5.3346178793979906</c:v>
                </c:pt>
                <c:pt idx="922">
                  <c:v>-5.3478098635035582</c:v>
                </c:pt>
                <c:pt idx="923">
                  <c:v>-5.3610018702217968</c:v>
                </c:pt>
                <c:pt idx="924">
                  <c:v>-5.3741938995523491</c:v>
                </c:pt>
                <c:pt idx="925">
                  <c:v>-5.3873859514948581</c:v>
                </c:pt>
                <c:pt idx="926">
                  <c:v>-5.4005780260489678</c:v>
                </c:pt>
                <c:pt idx="927">
                  <c:v>-5.4137701232143218</c:v>
                </c:pt>
                <c:pt idx="928">
                  <c:v>-5.4269622429905633</c:v>
                </c:pt>
                <c:pt idx="929">
                  <c:v>-5.4401543853773351</c:v>
                </c:pt>
                <c:pt idx="930">
                  <c:v>-5.4533465503742811</c:v>
                </c:pt>
                <c:pt idx="931">
                  <c:v>-5.4665387379810451</c:v>
                </c:pt>
                <c:pt idx="932">
                  <c:v>-5.47973094819727</c:v>
                </c:pt>
                <c:pt idx="933">
                  <c:v>-5.4929231810225998</c:v>
                </c:pt>
                <c:pt idx="934">
                  <c:v>-5.5061154364566773</c:v>
                </c:pt>
                <c:pt idx="935">
                  <c:v>-5.5193077144991465</c:v>
                </c:pt>
                <c:pt idx="936">
                  <c:v>-5.5325000151496502</c:v>
                </c:pt>
                <c:pt idx="937">
                  <c:v>-5.5456923384078323</c:v>
                </c:pt>
                <c:pt idx="938">
                  <c:v>-5.5588846842733357</c:v>
                </c:pt>
                <c:pt idx="939">
                  <c:v>-5.5720770527458043</c:v>
                </c:pt>
                <c:pt idx="940">
                  <c:v>-5.585269443824882</c:v>
                </c:pt>
                <c:pt idx="941">
                  <c:v>-5.5984618575102116</c:v>
                </c:pt>
                <c:pt idx="942">
                  <c:v>-5.6116542938014371</c:v>
                </c:pt>
                <c:pt idx="943">
                  <c:v>-5.6248467526982013</c:v>
                </c:pt>
                <c:pt idx="944">
                  <c:v>-5.6380392342001482</c:v>
                </c:pt>
                <c:pt idx="945">
                  <c:v>-5.6512317383069206</c:v>
                </c:pt>
                <c:pt idx="946">
                  <c:v>-5.6644242650181624</c:v>
                </c:pt>
                <c:pt idx="947">
                  <c:v>-5.6776168143335175</c:v>
                </c:pt>
                <c:pt idx="948">
                  <c:v>-5.6908093862526288</c:v>
                </c:pt>
                <c:pt idx="949">
                  <c:v>-5.7040019807751392</c:v>
                </c:pt>
                <c:pt idx="950">
                  <c:v>-5.7171945979006935</c:v>
                </c:pt>
                <c:pt idx="951">
                  <c:v>-5.7303872376289346</c:v>
                </c:pt>
                <c:pt idx="952">
                  <c:v>-5.7435798999595056</c:v>
                </c:pt>
                <c:pt idx="953">
                  <c:v>-5.7567725848920501</c:v>
                </c:pt>
                <c:pt idx="954">
                  <c:v>-5.7699652924262121</c:v>
                </c:pt>
                <c:pt idx="955">
                  <c:v>-5.7831580225616346</c:v>
                </c:pt>
                <c:pt idx="956">
                  <c:v>-5.7963507752979613</c:v>
                </c:pt>
                <c:pt idx="957">
                  <c:v>-5.8095435506348352</c:v>
                </c:pt>
                <c:pt idx="958">
                  <c:v>-5.8227363485719001</c:v>
                </c:pt>
                <c:pt idx="959">
                  <c:v>-5.8359291691088</c:v>
                </c:pt>
                <c:pt idx="960">
                  <c:v>-5.8491220122451777</c:v>
                </c:pt>
                <c:pt idx="961">
                  <c:v>-5.8623148779806771</c:v>
                </c:pt>
                <c:pt idx="962">
                  <c:v>-5.875507766314942</c:v>
                </c:pt>
                <c:pt idx="963">
                  <c:v>-5.8887006772476154</c:v>
                </c:pt>
                <c:pt idx="964">
                  <c:v>-5.9018936107783411</c:v>
                </c:pt>
                <c:pt idx="965">
                  <c:v>-5.915086566906762</c:v>
                </c:pt>
                <c:pt idx="966">
                  <c:v>-5.9282795456325221</c:v>
                </c:pt>
                <c:pt idx="967">
                  <c:v>-5.9414725469552652</c:v>
                </c:pt>
                <c:pt idx="968">
                  <c:v>-5.9546655708746341</c:v>
                </c:pt>
                <c:pt idx="969">
                  <c:v>-5.9678586173902728</c:v>
                </c:pt>
                <c:pt idx="970">
                  <c:v>-5.9810516865018251</c:v>
                </c:pt>
                <c:pt idx="971">
                  <c:v>-5.9942447782089339</c:v>
                </c:pt>
                <c:pt idx="972">
                  <c:v>-6.007437892511243</c:v>
                </c:pt>
                <c:pt idx="973">
                  <c:v>-6.0206310294083965</c:v>
                </c:pt>
                <c:pt idx="974">
                  <c:v>-6.033824188900037</c:v>
                </c:pt>
                <c:pt idx="975">
                  <c:v>-6.0470173709858086</c:v>
                </c:pt>
                <c:pt idx="976">
                  <c:v>-6.060210575665355</c:v>
                </c:pt>
                <c:pt idx="977">
                  <c:v>-6.0734038029383193</c:v>
                </c:pt>
                <c:pt idx="978">
                  <c:v>-6.0865970528043452</c:v>
                </c:pt>
                <c:pt idx="979">
                  <c:v>-6.0997903252630756</c:v>
                </c:pt>
                <c:pt idx="980">
                  <c:v>-6.1129836203141545</c:v>
                </c:pt>
                <c:pt idx="981">
                  <c:v>-6.1261769379572257</c:v>
                </c:pt>
                <c:pt idx="982">
                  <c:v>-6.139370278191933</c:v>
                </c:pt>
                <c:pt idx="983">
                  <c:v>-6.1525636410179194</c:v>
                </c:pt>
                <c:pt idx="984">
                  <c:v>-6.1657570264348287</c:v>
                </c:pt>
                <c:pt idx="985">
                  <c:v>-6.1789504344423047</c:v>
                </c:pt>
                <c:pt idx="986">
                  <c:v>-6.1921438650399905</c:v>
                </c:pt>
                <c:pt idx="987">
                  <c:v>-6.2053373182275298</c:v>
                </c:pt>
                <c:pt idx="988">
                  <c:v>-6.2185307940045664</c:v>
                </c:pt>
                <c:pt idx="989">
                  <c:v>-6.2317242923707443</c:v>
                </c:pt>
                <c:pt idx="990">
                  <c:v>-6.2449178133257064</c:v>
                </c:pt>
                <c:pt idx="991">
                  <c:v>-6.2581113568690965</c:v>
                </c:pt>
                <c:pt idx="992">
                  <c:v>-6.2713049230005575</c:v>
                </c:pt>
                <c:pt idx="993">
                  <c:v>-6.2844985117197343</c:v>
                </c:pt>
                <c:pt idx="994">
                  <c:v>-6.2976921230262697</c:v>
                </c:pt>
                <c:pt idx="995">
                  <c:v>-6.3108857569198067</c:v>
                </c:pt>
                <c:pt idx="996">
                  <c:v>-6.32407941339999</c:v>
                </c:pt>
                <c:pt idx="997">
                  <c:v>-6.3372730924664626</c:v>
                </c:pt>
                <c:pt idx="998">
                  <c:v>-6.3504667941188684</c:v>
                </c:pt>
                <c:pt idx="999">
                  <c:v>-6.3636605183568511</c:v>
                </c:pt>
                <c:pt idx="1000">
                  <c:v>-6.3768542651800537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B-6442-AFEC-07E56791BA28}"/>
            </c:ext>
          </c:extLst>
        </c:ser>
        <c:ser>
          <c:idx val="2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3.1146971970863913E-6</c:v>
                </c:pt>
                <c:pt idx="2">
                  <c:v>1.0388426694093229E-4</c:v>
                </c:pt>
                <c:pt idx="3">
                  <c:v>4.8521253657299817E-4</c:v>
                </c:pt>
                <c:pt idx="4">
                  <c:v>1.3301375760294335E-3</c:v>
                </c:pt>
                <c:pt idx="5">
                  <c:v>2.8218883467611778E-3</c:v>
                </c:pt>
                <c:pt idx="6">
                  <c:v>5.0975888067214259E-3</c:v>
                </c:pt>
                <c:pt idx="7">
                  <c:v>8.2018428797820606E-3</c:v>
                </c:pt>
                <c:pt idx="8">
                  <c:v>1.2132944531041016E-2</c:v>
                </c:pt>
                <c:pt idx="9">
                  <c:v>1.6889178844236193E-2</c:v>
                </c:pt>
                <c:pt idx="10">
                  <c:v>2.2468822051783219E-2</c:v>
                </c:pt>
                <c:pt idx="11">
                  <c:v>2.8870141565153617E-2</c:v>
                </c:pt>
                <c:pt idx="12">
                  <c:v>3.6091396005590887E-2</c:v>
                </c:pt>
                <c:pt idx="13">
                  <c:v>4.4130835235162147E-2</c:v>
                </c:pt>
                <c:pt idx="14">
                  <c:v>5.29867003881428E-2</c:v>
                </c:pt>
                <c:pt idx="15">
                  <c:v>6.265722390273179E-2</c:v>
                </c:pt>
                <c:pt idx="16">
                  <c:v>7.314062955309486E-2</c:v>
                </c:pt>
                <c:pt idx="17">
                  <c:v>8.4435132481733288E-2</c:v>
                </c:pt>
                <c:pt idx="18">
                  <c:v>9.6538939232175533E-2</c:v>
                </c:pt>
                <c:pt idx="19">
                  <c:v>0.10945024778198914</c:v>
                </c:pt>
                <c:pt idx="20">
                  <c:v>0.12316724757611026</c:v>
                </c:pt>
                <c:pt idx="21">
                  <c:v>0.13768811956048818</c:v>
                </c:pt>
                <c:pt idx="22">
                  <c:v>0.15301103621604212</c:v>
                </c:pt>
                <c:pt idx="23">
                  <c:v>0.16913416159292746</c:v>
                </c:pt>
                <c:pt idx="24">
                  <c:v>0.18605565134510901</c:v>
                </c:pt>
                <c:pt idx="25">
                  <c:v>0.20377365276523807</c:v>
                </c:pt>
                <c:pt idx="26">
                  <c:v>0.22228630481983078</c:v>
                </c:pt>
                <c:pt idx="27">
                  <c:v>0.24159173818474491</c:v>
                </c:pt>
                <c:pt idx="28">
                  <c:v>0.26168807528095228</c:v>
                </c:pt>
                <c:pt idx="29">
                  <c:v>0.2825734303106035</c:v>
                </c:pt>
                <c:pt idx="30">
                  <c:v>0.30424590929338302</c:v>
                </c:pt>
                <c:pt idx="31">
                  <c:v>0.32670361010315052</c:v>
                </c:pt>
                <c:pt idx="32">
                  <c:v>0.34994462250486652</c:v>
                </c:pt>
                <c:pt idx="33">
                  <c:v>0.37400963669571724</c:v>
                </c:pt>
                <c:pt idx="34">
                  <c:v>0.39894081854126145</c:v>
                </c:pt>
                <c:pt idx="35">
                  <c:v>0.42473917579575393</c:v>
                </c:pt>
                <c:pt idx="36">
                  <c:v>0.45140563745580914</c:v>
                </c:pt>
                <c:pt idx="37">
                  <c:v>0.47894103608090038</c:v>
                </c:pt>
                <c:pt idx="38">
                  <c:v>0.5073461125343437</c:v>
                </c:pt>
                <c:pt idx="39">
                  <c:v>0.53662152033457589</c:v>
                </c:pt>
                <c:pt idx="40">
                  <c:v>0.56676782965914474</c:v>
                </c:pt>
                <c:pt idx="41">
                  <c:v>0.59778553103818288</c:v>
                </c:pt>
                <c:pt idx="42">
                  <c:v>0.62967503876936903</c:v>
                </c:pt>
                <c:pt idx="43">
                  <c:v>0.66243669408234307</c:v>
                </c:pt>
                <c:pt idx="44">
                  <c:v>0.69607076807709711</c:v>
                </c:pt>
                <c:pt idx="45">
                  <c:v>0.73057746445792482</c:v>
                </c:pt>
                <c:pt idx="46">
                  <c:v>0.76595692208197996</c:v>
                </c:pt>
                <c:pt idx="47">
                  <c:v>0.80220921733931883</c:v>
                </c:pt>
                <c:pt idx="48">
                  <c:v>0.83933436637941372</c:v>
                </c:pt>
                <c:pt idx="49">
                  <c:v>0.87733232719748799</c:v>
                </c:pt>
                <c:pt idx="50">
                  <c:v>0.91620300159259549</c:v>
                </c:pt>
                <c:pt idx="51">
                  <c:v>0.9559464938864678</c:v>
                </c:pt>
                <c:pt idx="52">
                  <c:v>0.99656337164848974</c:v>
                </c:pt>
                <c:pt idx="53">
                  <c:v>1.0380544132196197</c:v>
                </c:pt>
                <c:pt idx="54">
                  <c:v>1.0804203529451997</c:v>
                </c:pt>
                <c:pt idx="55">
                  <c:v>1.1236618824659401</c:v>
                </c:pt>
                <c:pt idx="56">
                  <c:v>1.1677796519398715</c:v>
                </c:pt>
                <c:pt idx="57">
                  <c:v>1.2127742712002452</c:v>
                </c:pt>
                <c:pt idx="58">
                  <c:v>1.2586463108539192</c:v>
                </c:pt>
                <c:pt idx="59">
                  <c:v>1.3053963033243756</c:v>
                </c:pt>
                <c:pt idx="60">
                  <c:v>1.3530247438431549</c:v>
                </c:pt>
                <c:pt idx="61">
                  <c:v>1.401532091393179</c:v>
                </c:pt>
                <c:pt idx="62">
                  <c:v>1.4509187696071442</c:v>
                </c:pt>
                <c:pt idx="63">
                  <c:v>1.5011851676239067</c:v>
                </c:pt>
                <c:pt idx="64">
                  <c:v>1.5523316409055528</c:v>
                </c:pt>
                <c:pt idx="65">
                  <c:v>1.6043585120176278</c:v>
                </c:pt>
                <c:pt idx="66">
                  <c:v>1.6572660713748129</c:v>
                </c:pt>
                <c:pt idx="67">
                  <c:v>1.7110545779541579</c:v>
                </c:pt>
                <c:pt idx="68">
                  <c:v>1.7657242599778249</c:v>
                </c:pt>
                <c:pt idx="69">
                  <c:v>1.8212753155671488</c:v>
                </c:pt>
                <c:pt idx="70">
                  <c:v>1.8777079133696941</c:v>
                </c:pt>
                <c:pt idx="71">
                  <c:v>1.9350221931608598</c:v>
                </c:pt>
                <c:pt idx="72">
                  <c:v>1.993218266421481</c:v>
                </c:pt>
                <c:pt idx="73">
                  <c:v>2.052296216892771</c:v>
                </c:pt>
                <c:pt idx="74">
                  <c:v>2.112256101109856</c:v>
                </c:pt>
                <c:pt idx="75">
                  <c:v>2.1730979489150708</c:v>
                </c:pt>
                <c:pt idx="76">
                  <c:v>2.2348217639521013</c:v>
                </c:pt>
                <c:pt idx="77">
                  <c:v>2.2974275241419964</c:v>
                </c:pt>
                <c:pt idx="78">
                  <c:v>2.3609151821419938</c:v>
                </c:pt>
                <c:pt idx="79">
                  <c:v>2.4252846657880545</c:v>
                </c:pt>
                <c:pt idx="80">
                  <c:v>2.4905358785219365</c:v>
                </c:pt>
                <c:pt idx="81">
                  <c:v>2.5566686998035895</c:v>
                </c:pt>
                <c:pt idx="82">
                  <c:v>2.6236829855096024</c:v>
                </c:pt>
                <c:pt idx="83">
                  <c:v>2.6915785683183917</c:v>
                </c:pt>
                <c:pt idx="84">
                  <c:v>2.7603552580827779</c:v>
                </c:pt>
                <c:pt idx="85">
                  <c:v>2.8300128421905555</c:v>
                </c:pt>
                <c:pt idx="86">
                  <c:v>2.9005510859136296</c:v>
                </c:pt>
                <c:pt idx="87">
                  <c:v>2.9719697327462593</c:v>
                </c:pt>
                <c:pt idx="88">
                  <c:v>3.0442685047329099</c:v>
                </c:pt>
                <c:pt idx="89">
                  <c:v>3.1174471027861981</c:v>
                </c:pt>
                <c:pt idx="90">
                  <c:v>3.1915052069953793</c:v>
                </c:pt>
                <c:pt idx="91">
                  <c:v>3.2664424769258029</c:v>
                </c:pt>
                <c:pt idx="92">
                  <c:v>3.3422585519097381</c:v>
                </c:pt>
                <c:pt idx="93">
                  <c:v>3.4189530513289537</c:v>
                </c:pt>
                <c:pt idx="94">
                  <c:v>3.4965255748894091</c:v>
                </c:pt>
                <c:pt idx="95">
                  <c:v>3.5749757028883984</c:v>
                </c:pt>
                <c:pt idx="96">
                  <c:v>3.654302996474474</c:v>
                </c:pt>
                <c:pt idx="97">
                  <c:v>3.734506997900449</c:v>
                </c:pt>
                <c:pt idx="98">
                  <c:v>3.8155872307697769</c:v>
                </c:pt>
                <c:pt idx="99">
                  <c:v>3.8975432002765764</c:v>
                </c:pt>
                <c:pt idx="100">
                  <c:v>3.9803743934395683</c:v>
                </c:pt>
                <c:pt idx="101">
                  <c:v>4.0640801509822007</c:v>
                </c:pt>
                <c:pt idx="102">
                  <c:v>4.1486595386196816</c:v>
                </c:pt>
                <c:pt idx="103">
                  <c:v>4.234111474872555</c:v>
                </c:pt>
                <c:pt idx="104">
                  <c:v>4.3204348594777588</c:v>
                </c:pt>
                <c:pt idx="105">
                  <c:v>4.4076285736256215</c:v>
                </c:pt>
                <c:pt idx="106">
                  <c:v>4.4956914801914651</c:v>
                </c:pt>
                <c:pt idx="107">
                  <c:v>4.584622423962041</c:v>
                </c:pt>
                <c:pt idx="108">
                  <c:v>4.6744202318569847</c:v>
                </c:pt>
                <c:pt idx="109">
                  <c:v>4.7650837131454917</c:v>
                </c:pt>
                <c:pt idx="110">
                  <c:v>4.8566116596583901</c:v>
                </c:pt>
                <c:pt idx="111">
                  <c:v>4.9490028459957847</c:v>
                </c:pt>
                <c:pt idx="112">
                  <c:v>5.0422560297304395</c:v>
                </c:pt>
                <c:pt idx="113">
                  <c:v>5.136369951607052</c:v>
                </c:pt>
                <c:pt idx="114">
                  <c:v>5.2313433357375763</c:v>
                </c:pt>
                <c:pt idx="115">
                  <c:v>5.3271748897927305</c:v>
                </c:pt>
                <c:pt idx="116">
                  <c:v>5.4238633051898324</c:v>
                </c:pt>
                <c:pt idx="117">
                  <c:v>5.5214072572770903</c:v>
                </c:pt>
                <c:pt idx="118">
                  <c:v>5.6198054055144757</c:v>
                </c:pt>
                <c:pt idx="119">
                  <c:v>5.7190563936512939</c:v>
                </c:pt>
                <c:pt idx="120">
                  <c:v>5.8191588499005746</c:v>
                </c:pt>
                <c:pt idx="121">
                  <c:v>5.9201113871103805</c:v>
                </c:pt>
                <c:pt idx="122">
                  <c:v>6.0219126029321508</c:v>
                </c:pt>
                <c:pt idx="123">
                  <c:v>6.1245610799861696</c:v>
                </c:pt>
                <c:pt idx="124">
                  <c:v>6.2280553860242582</c:v>
                </c:pt>
                <c:pt idx="125">
                  <c:v>6.3323940740897893</c:v>
                </c:pt>
                <c:pt idx="126">
                  <c:v>6.4375756826750985</c:v>
                </c:pt>
                <c:pt idx="127">
                  <c:v>6.5435987358763894</c:v>
                </c:pt>
                <c:pt idx="128">
                  <c:v>6.6504617435462059</c:v>
                </c:pt>
                <c:pt idx="129">
                  <c:v>6.7581632014435513</c:v>
                </c:pt>
                <c:pt idx="130">
                  <c:v>6.8667015913817302</c:v>
                </c:pt>
                <c:pt idx="131">
                  <c:v>6.9760753813739793</c:v>
                </c:pt>
                <c:pt idx="132">
                  <c:v>7.0862830257769609</c:v>
                </c:pt>
                <c:pt idx="133">
                  <c:v>7.1973229654321838</c:v>
                </c:pt>
                <c:pt idx="134">
                  <c:v>7.3091936278054099</c:v>
                </c:pt>
                <c:pt idx="135">
                  <c:v>7.4218934271241155</c:v>
                </c:pt>
                <c:pt idx="136">
                  <c:v>7.5354207645130558</c:v>
                </c:pt>
                <c:pt idx="137">
                  <c:v>7.6497740281279931</c:v>
                </c:pt>
                <c:pt idx="138">
                  <c:v>7.7649515932876474</c:v>
                </c:pt>
                <c:pt idx="139">
                  <c:v>7.8809518226039108</c:v>
                </c:pt>
                <c:pt idx="140">
                  <c:v>7.9977730661103816</c:v>
                </c:pt>
                <c:pt idx="141">
                  <c:v>8.1154136613892689</c:v>
                </c:pt>
                <c:pt idx="142">
                  <c:v>8.2338719336966992</c:v>
                </c:pt>
                <c:pt idx="143">
                  <c:v>8.3531461960864899</c:v>
                </c:pt>
                <c:pt idx="144">
                  <c:v>8.4732347495324181</c:v>
                </c:pt>
                <c:pt idx="145">
                  <c:v>8.5941358830490238</c:v>
                </c:pt>
                <c:pt idx="146">
                  <c:v>8.7158478738110006</c:v>
                </c:pt>
                <c:pt idx="147">
                  <c:v>8.8383689872711955</c:v>
                </c:pt>
                <c:pt idx="148">
                  <c:v>8.9616974772772657</c:v>
                </c:pt>
                <c:pt idx="149">
                  <c:v>9.0858315861870231</c:v>
                </c:pt>
                <c:pt idx="150">
                  <c:v>9.2107695449825009</c:v>
                </c:pt>
                <c:pt idx="151">
                  <c:v>9.3365096192479378</c:v>
                </c:pt>
                <c:pt idx="152">
                  <c:v>9.4630501552868669</c:v>
                </c:pt>
                <c:pt idx="153">
                  <c:v>9.5903895345337205</c:v>
                </c:pt>
                <c:pt idx="154">
                  <c:v>9.7185261278205122</c:v>
                </c:pt>
                <c:pt idx="155">
                  <c:v>9.8474582954781305</c:v>
                </c:pt>
                <c:pt idx="156">
                  <c:v>9.9771843874366208</c:v>
                </c:pt>
                <c:pt idx="157">
                  <c:v>10.10770274332446</c:v>
                </c:pt>
                <c:pt idx="158">
                  <c:v>10.23901169256686</c:v>
                </c:pt>
                <c:pt idx="159">
                  <c:v>10.371109554483125</c:v>
                </c:pt>
                <c:pt idx="160">
                  <c:v>10.503994638383066</c:v>
                </c:pt>
                <c:pt idx="161">
                  <c:v>10.637665243662525</c:v>
                </c:pt>
                <c:pt idx="162">
                  <c:v>10.772119659898001</c:v>
                </c:pt>
                <c:pt idx="163">
                  <c:v>10.90735616694041</c:v>
                </c:pt>
                <c:pt idx="164">
                  <c:v>11.043373035007999</c:v>
                </c:pt>
                <c:pt idx="165">
                  <c:v>11.180168524778423</c:v>
                </c:pt>
                <c:pt idx="166">
                  <c:v>11.317740887480026</c:v>
                </c:pt>
                <c:pt idx="167">
                  <c:v>11.456088364982305</c:v>
                </c:pt>
                <c:pt idx="168">
                  <c:v>11.595209189885619</c:v>
                </c:pt>
                <c:pt idx="169">
                  <c:v>11.735101585610114</c:v>
                </c:pt>
                <c:pt idx="170">
                  <c:v>11.875763766483917</c:v>
                </c:pt>
                <c:pt idx="171">
                  <c:v>12.0171939378306</c:v>
                </c:pt>
                <c:pt idx="172">
                  <c:v>12.159390296055905</c:v>
                </c:pt>
                <c:pt idx="173">
                  <c:v>12.302351028733801</c:v>
                </c:pt>
                <c:pt idx="174">
                  <c:v>12.446074314691813</c:v>
                </c:pt>
                <c:pt idx="175">
                  <c:v>12.590558324095712</c:v>
                </c:pt>
                <c:pt idx="176">
                  <c:v>12.73580121853351</c:v>
                </c:pt>
                <c:pt idx="177">
                  <c:v>12.881801151098825</c:v>
                </c:pt>
                <c:pt idx="178">
                  <c:v>13.028556266473597</c:v>
                </c:pt>
                <c:pt idx="179">
                  <c:v>13.176064701010178</c:v>
                </c:pt>
                <c:pt idx="180">
                  <c:v>13.324324582812803</c:v>
                </c:pt>
                <c:pt idx="181">
                  <c:v>13.473334031818462</c:v>
                </c:pt>
                <c:pt idx="182">
                  <c:v>13.623091159877166</c:v>
                </c:pt>
                <c:pt idx="183">
                  <c:v>13.773594070831635</c:v>
                </c:pt>
                <c:pt idx="184">
                  <c:v>13.924840860596404</c:v>
                </c:pt>
                <c:pt idx="185">
                  <c:v>14.07682961723637</c:v>
                </c:pt>
                <c:pt idx="186">
                  <c:v>14.229558421044775</c:v>
                </c:pt>
                <c:pt idx="187">
                  <c:v>14.383025344620636</c:v>
                </c:pt>
                <c:pt idx="188">
                  <c:v>14.537228452945648</c:v>
                </c:pt>
                <c:pt idx="189">
                  <c:v>14.692165803460544</c:v>
                </c:pt>
                <c:pt idx="190">
                  <c:v>14.847835446140934</c:v>
                </c:pt>
                <c:pt idx="191">
                  <c:v>15.004235423572625</c:v>
                </c:pt>
                <c:pt idx="192">
                  <c:v>15.161363771026439</c:v>
                </c:pt>
                <c:pt idx="193">
                  <c:v>15.319218516532514</c:v>
                </c:pt>
                <c:pt idx="194">
                  <c:v>15.477797680954133</c:v>
                </c:pt>
                <c:pt idx="195">
                  <c:v>15.63709927806104</c:v>
                </c:pt>
                <c:pt idx="196">
                  <c:v>15.797121314602293</c:v>
                </c:pt>
                <c:pt idx="197">
                  <c:v>15.957861790378631</c:v>
                </c:pt>
                <c:pt idx="198">
                  <c:v>16.119318698314373</c:v>
                </c:pt>
                <c:pt idx="199">
                  <c:v>16.281490024528864</c:v>
                </c:pt>
                <c:pt idx="200">
                  <c:v>16.44437374840744</c:v>
                </c:pt>
                <c:pt idx="201">
                  <c:v>16.607967842671968</c:v>
                </c:pt>
                <c:pt idx="202">
                  <c:v>16.772270273450921</c:v>
                </c:pt>
                <c:pt idx="203">
                  <c:v>16.937279000349019</c:v>
                </c:pt>
                <c:pt idx="204">
                  <c:v>17.102991976516424</c:v>
                </c:pt>
                <c:pt idx="205">
                  <c:v>17.269407148717523</c:v>
                </c:pt>
                <c:pt idx="206">
                  <c:v>17.43652245739926</c:v>
                </c:pt>
                <c:pt idx="207">
                  <c:v>17.604335836759059</c:v>
                </c:pt>
                <c:pt idx="208">
                  <c:v>17.772845214812328</c:v>
                </c:pt>
                <c:pt idx="209">
                  <c:v>17.942048513459547</c:v>
                </c:pt>
                <c:pt idx="210">
                  <c:v>18.111943648552945</c:v>
                </c:pt>
                <c:pt idx="211">
                  <c:v>18.282528529962775</c:v>
                </c:pt>
                <c:pt idx="212">
                  <c:v>18.453801061643183</c:v>
                </c:pt>
                <c:pt idx="213">
                  <c:v>18.625759141697678</c:v>
                </c:pt>
                <c:pt idx="214">
                  <c:v>18.798400662444216</c:v>
                </c:pt>
                <c:pt idx="215">
                  <c:v>18.971723510479883</c:v>
                </c:pt>
                <c:pt idx="216">
                  <c:v>19.145725566745195</c:v>
                </c:pt>
                <c:pt idx="217">
                  <c:v>19.320404706588011</c:v>
                </c:pt>
                <c:pt idx="218">
                  <c:v>19.495758799827069</c:v>
                </c:pt>
                <c:pt idx="219">
                  <c:v>19.671785710815143</c:v>
                </c:pt>
                <c:pt idx="220">
                  <c:v>19.848483298501819</c:v>
                </c:pt>
                <c:pt idx="221">
                  <c:v>20.025849416495909</c:v>
                </c:pt>
                <c:pt idx="222">
                  <c:v>20.203881913127486</c:v>
                </c:pt>
                <c:pt idx="223">
                  <c:v>20.382578631509556</c:v>
                </c:pt>
                <c:pt idx="224">
                  <c:v>20.56193740959937</c:v>
                </c:pt>
                <c:pt idx="225">
                  <c:v>20.741956080259364</c:v>
                </c:pt>
                <c:pt idx="226">
                  <c:v>20.922632471317758</c:v>
                </c:pt>
                <c:pt idx="227">
                  <c:v>21.103964405628776</c:v>
                </c:pt>
                <c:pt idx="228">
                  <c:v>21.28594970113253</c:v>
                </c:pt>
                <c:pt idx="229">
                  <c:v>21.468586170914538</c:v>
                </c:pt>
                <c:pt idx="230">
                  <c:v>21.651871623264906</c:v>
                </c:pt>
                <c:pt idx="231">
                  <c:v>21.835803861737155</c:v>
                </c:pt>
                <c:pt idx="232">
                  <c:v>22.020380685206696</c:v>
                </c:pt>
                <c:pt idx="233">
                  <c:v>22.205599887928976</c:v>
                </c:pt>
                <c:pt idx="234">
                  <c:v>22.391459259597266</c:v>
                </c:pt>
                <c:pt idx="235">
                  <c:v>22.577956585400123</c:v>
                </c:pt>
                <c:pt idx="236">
                  <c:v>22.765089646078511</c:v>
                </c:pt>
                <c:pt idx="237">
                  <c:v>22.952856217982575</c:v>
                </c:pt>
                <c:pt idx="238">
                  <c:v>23.141254073128092</c:v>
                </c:pt>
                <c:pt idx="239">
                  <c:v>23.330280979252581</c:v>
                </c:pt>
                <c:pt idx="240">
                  <c:v>23.519934699871097</c:v>
                </c:pt>
                <c:pt idx="241">
                  <c:v>23.710212994331673</c:v>
                </c:pt>
                <c:pt idx="242">
                  <c:v>23.90111361787045</c:v>
                </c:pt>
                <c:pt idx="243">
                  <c:v>24.092634321666473</c:v>
                </c:pt>
                <c:pt idx="244">
                  <c:v>24.284772852896165</c:v>
                </c:pt>
                <c:pt idx="245">
                  <c:v>24.477526954787471</c:v>
                </c:pt>
                <c:pt idx="246">
                  <c:v>24.670894366673693</c:v>
                </c:pt>
                <c:pt idx="247">
                  <c:v>24.864872824046987</c:v>
                </c:pt>
                <c:pt idx="248">
                  <c:v>25.059460058611553</c:v>
                </c:pt>
                <c:pt idx="249">
                  <c:v>25.254653798336495</c:v>
                </c:pt>
                <c:pt idx="250">
                  <c:v>25.450451767508376</c:v>
                </c:pt>
                <c:pt idx="251">
                  <c:v>25.646851475231617</c:v>
                </c:pt>
                <c:pt idx="252">
                  <c:v>25.843850003620119</c:v>
                </c:pt>
                <c:pt idx="253">
                  <c:v>26.041444219164898</c:v>
                </c:pt>
                <c:pt idx="254">
                  <c:v>26.239630984419588</c:v>
                </c:pt>
                <c:pt idx="255">
                  <c:v>26.438407158070671</c:v>
                </c:pt>
                <c:pt idx="256">
                  <c:v>26.637769595007228</c:v>
                </c:pt>
                <c:pt idx="257">
                  <c:v>26.837715146390163</c:v>
                </c:pt>
                <c:pt idx="258">
                  <c:v>27.038240659720913</c:v>
                </c:pt>
                <c:pt idx="259">
                  <c:v>27.239342978909669</c:v>
                </c:pt>
                <c:pt idx="260">
                  <c:v>27.441018944343089</c:v>
                </c:pt>
                <c:pt idx="261">
                  <c:v>27.643265392951506</c:v>
                </c:pt>
                <c:pt idx="262">
                  <c:v>27.846079158275632</c:v>
                </c:pt>
                <c:pt idx="263">
                  <c:v>28.049457070532778</c:v>
                </c:pt>
                <c:pt idx="264">
                  <c:v>28.253395956682557</c:v>
                </c:pt>
                <c:pt idx="265">
                  <c:v>28.457892640492098</c:v>
                </c:pt>
                <c:pt idx="266">
                  <c:v>28.662943942600776</c:v>
                </c:pt>
                <c:pt idx="267">
                  <c:v>28.868546680584441</c:v>
                </c:pt>
                <c:pt idx="268">
                  <c:v>29.074697669019141</c:v>
                </c:pt>
                <c:pt idx="269">
                  <c:v>29.281393719544379</c:v>
                </c:pt>
                <c:pt idx="270">
                  <c:v>29.48863164092587</c:v>
                </c:pt>
                <c:pt idx="271">
                  <c:v>29.696408239117801</c:v>
                </c:pt>
                <c:pt idx="272">
                  <c:v>29.904720317324621</c:v>
                </c:pt>
                <c:pt idx="273">
                  <c:v>30.113564676062332</c:v>
                </c:pt>
                <c:pt idx="274">
                  <c:v>30.322938113219301</c:v>
                </c:pt>
                <c:pt idx="275">
                  <c:v>30.532837424116597</c:v>
                </c:pt>
                <c:pt idx="276">
                  <c:v>30.743259401567826</c:v>
                </c:pt>
                <c:pt idx="277">
                  <c:v>30.954200835938508</c:v>
                </c:pt>
                <c:pt idx="278">
                  <c:v>31.16565851520496</c:v>
                </c:pt>
                <c:pt idx="279">
                  <c:v>31.377629225012711</c:v>
                </c:pt>
                <c:pt idx="280">
                  <c:v>31.590109748734424</c:v>
                </c:pt>
                <c:pt idx="281">
                  <c:v>31.803096867527362</c:v>
                </c:pt>
                <c:pt idx="282">
                  <c:v>32.016587360390368</c:v>
                </c:pt>
                <c:pt idx="283">
                  <c:v>32.230578004220376</c:v>
                </c:pt>
                <c:pt idx="284">
                  <c:v>32.44506557386844</c:v>
                </c:pt>
                <c:pt idx="285">
                  <c:v>32.660046842195314</c:v>
                </c:pt>
                <c:pt idx="286">
                  <c:v>32.875518580126524</c:v>
                </c:pt>
                <c:pt idx="287">
                  <c:v>33.091477556707012</c:v>
                </c:pt>
                <c:pt idx="288">
                  <c:v>33.307920539155297</c:v>
                </c:pt>
                <c:pt idx="289">
                  <c:v>33.524844292917152</c:v>
                </c:pt>
                <c:pt idx="290">
                  <c:v>33.742245581718841</c:v>
                </c:pt>
                <c:pt idx="291">
                  <c:v>33.960121167619874</c:v>
                </c:pt>
                <c:pt idx="292">
                  <c:v>34.178467811065318</c:v>
                </c:pt>
                <c:pt idx="293">
                  <c:v>34.397282270937616</c:v>
                </c:pt>
                <c:pt idx="294">
                  <c:v>34.616561304607977</c:v>
                </c:pt>
                <c:pt idx="295">
                  <c:v>34.836301667987271</c:v>
                </c:pt>
                <c:pt idx="296">
                  <c:v>35.056500115576512</c:v>
                </c:pt>
                <c:pt idx="297">
                  <c:v>35.277153400516831</c:v>
                </c:pt>
                <c:pt idx="298">
                  <c:v>35.498255893980655</c:v>
                </c:pt>
                <c:pt idx="299">
                  <c:v>35.719797202448596</c:v>
                </c:pt>
                <c:pt idx="300">
                  <c:v>35.941764547963885</c:v>
                </c:pt>
                <c:pt idx="301">
                  <c:v>36.164145150643044</c:v>
                </c:pt>
                <c:pt idx="302">
                  <c:v>36.38692622900674</c:v>
                </c:pt>
                <c:pt idx="303">
                  <c:v>36.610095000305066</c:v>
                </c:pt>
                <c:pt idx="304">
                  <c:v>36.833638680837275</c:v>
                </c:pt>
                <c:pt idx="305">
                  <c:v>37.057544486265947</c:v>
                </c:pt>
                <c:pt idx="306">
                  <c:v>37.281799631925587</c:v>
                </c:pt>
                <c:pt idx="307">
                  <c:v>37.506391333125727</c:v>
                </c:pt>
                <c:pt idx="308">
                  <c:v>37.731306805448469</c:v>
                </c:pt>
                <c:pt idx="309">
                  <c:v>37.956533265040505</c:v>
                </c:pt>
                <c:pt idx="310">
                  <c:v>38.18205792889966</c:v>
                </c:pt>
                <c:pt idx="311">
                  <c:v>38.407868015155891</c:v>
                </c:pt>
                <c:pt idx="312">
                  <c:v>38.633950743346837</c:v>
                </c:pt>
                <c:pt idx="313">
                  <c:v>38.860293334687853</c:v>
                </c:pt>
                <c:pt idx="314">
                  <c:v>39.086883012336621</c:v>
                </c:pt>
                <c:pt idx="315">
                  <c:v>39.31370700165224</c:v>
                </c:pt>
                <c:pt idx="316">
                  <c:v>39.540752530448927</c:v>
                </c:pt>
                <c:pt idx="317">
                  <c:v>39.768006829244221</c:v>
                </c:pt>
                <c:pt idx="318">
                  <c:v>39.995457131501823</c:v>
                </c:pt>
                <c:pt idx="319">
                  <c:v>40.223090673868946</c:v>
                </c:pt>
                <c:pt idx="320">
                  <c:v>40.450894696408319</c:v>
                </c:pt>
                <c:pt idx="321">
                  <c:v>40.678857400484972</c:v>
                </c:pt>
                <c:pt idx="322">
                  <c:v>40.906968906942069</c:v>
                </c:pt>
                <c:pt idx="323">
                  <c:v>41.135220297996042</c:v>
                </c:pt>
                <c:pt idx="324">
                  <c:v>41.363602658779257</c:v>
                </c:pt>
                <c:pt idx="325">
                  <c:v>41.592107077441234</c:v>
                </c:pt>
                <c:pt idx="326">
                  <c:v>41.820724645247175</c:v>
                </c:pt>
                <c:pt idx="327">
                  <c:v>42.049446456673941</c:v>
                </c:pt>
                <c:pt idx="328">
                  <c:v>42.278263609503362</c:v>
                </c:pt>
                <c:pt idx="329">
                  <c:v>42.507167204912982</c:v>
                </c:pt>
                <c:pt idx="330">
                  <c:v>42.736148347564175</c:v>
                </c:pt>
                <c:pt idx="331">
                  <c:v>42.96519814568768</c:v>
                </c:pt>
                <c:pt idx="332">
                  <c:v>43.194307711166566</c:v>
                </c:pt>
                <c:pt idx="333">
                  <c:v>43.423468159616597</c:v>
                </c:pt>
                <c:pt idx="334">
                  <c:v>43.652670610464043</c:v>
                </c:pt>
                <c:pt idx="335">
                  <c:v>43.881906187020896</c:v>
                </c:pt>
                <c:pt idx="336">
                  <c:v>44.111166016557583</c:v>
                </c:pt>
                <c:pt idx="337">
                  <c:v>44.340441230373074</c:v>
                </c:pt>
                <c:pt idx="338">
                  <c:v>44.569722963862475</c:v>
                </c:pt>
                <c:pt idx="339">
                  <c:v>44.799002356582079</c:v>
                </c:pt>
                <c:pt idx="340">
                  <c:v>45.028270552311888</c:v>
                </c:pt>
                <c:pt idx="341">
                  <c:v>45.257518699115586</c:v>
                </c:pt>
                <c:pt idx="342">
                  <c:v>45.486737949398041</c:v>
                </c:pt>
                <c:pt idx="343">
                  <c:v>45.71591945996024</c:v>
                </c:pt>
                <c:pt idx="344">
                  <c:v>45.945054392051766</c:v>
                </c:pt>
                <c:pt idx="345">
                  <c:v>46.174133911420739</c:v>
                </c:pt>
                <c:pt idx="346">
                  <c:v>46.403149188361304</c:v>
                </c:pt>
                <c:pt idx="347">
                  <c:v>46.632091397758572</c:v>
                </c:pt>
                <c:pt idx="348">
                  <c:v>46.860951823792334</c:v>
                </c:pt>
                <c:pt idx="349">
                  <c:v>47.089721964631089</c:v>
                </c:pt>
                <c:pt idx="350">
                  <c:v>47.31839342768005</c:v>
                </c:pt>
                <c:pt idx="351">
                  <c:v>47.546957824830905</c:v>
                </c:pt>
                <c:pt idx="352">
                  <c:v>47.775406772488651</c:v>
                </c:pt>
                <c:pt idx="353">
                  <c:v>48.003731891596175</c:v>
                </c:pt>
                <c:pt idx="354">
                  <c:v>48.231924807656625</c:v>
                </c:pt>
                <c:pt idx="355">
                  <c:v>48.459977150753573</c:v>
                </c:pt>
                <c:pt idx="356">
                  <c:v>48.687880555568974</c:v>
                </c:pt>
                <c:pt idx="357">
                  <c:v>48.915626661398917</c:v>
                </c:pt>
                <c:pt idx="358">
                  <c:v>49.143207112167168</c:v>
                </c:pt>
                <c:pt idx="359">
                  <c:v>49.370613556436524</c:v>
                </c:pt>
                <c:pt idx="360">
                  <c:v>49.597839837142537</c:v>
                </c:pt>
                <c:pt idx="361">
                  <c:v>49.824884180923966</c:v>
                </c:pt>
                <c:pt idx="362">
                  <c:v>50.051747005410739</c:v>
                </c:pt>
                <c:pt idx="363">
                  <c:v>50.2784287269129</c:v>
                </c:pt>
                <c:pt idx="364">
                  <c:v>50.504929760426357</c:v>
                </c:pt>
                <c:pt idx="365">
                  <c:v>50.7312505196386</c:v>
                </c:pt>
                <c:pt idx="366">
                  <c:v>50.957391416934385</c:v>
                </c:pt>
                <c:pt idx="367">
                  <c:v>51.183352863401382</c:v>
                </c:pt>
                <c:pt idx="368">
                  <c:v>51.409135268835797</c:v>
                </c:pt>
                <c:pt idx="369">
                  <c:v>51.634739041747949</c:v>
                </c:pt>
                <c:pt idx="370">
                  <c:v>51.860164589367855</c:v>
                </c:pt>
                <c:pt idx="371">
                  <c:v>52.08541231765075</c:v>
                </c:pt>
                <c:pt idx="372">
                  <c:v>52.310482631282568</c:v>
                </c:pt>
                <c:pt idx="373">
                  <c:v>52.535375933685437</c:v>
                </c:pt>
                <c:pt idx="374">
                  <c:v>52.760092627023113</c:v>
                </c:pt>
                <c:pt idx="375">
                  <c:v>52.984633112206396</c:v>
                </c:pt>
                <c:pt idx="376">
                  <c:v>53.208997788898486</c:v>
                </c:pt>
                <c:pt idx="377">
                  <c:v>53.433187055520385</c:v>
                </c:pt>
                <c:pt idx="378">
                  <c:v>53.657201309256173</c:v>
                </c:pt>
                <c:pt idx="379">
                  <c:v>53.881040946058327</c:v>
                </c:pt>
                <c:pt idx="380">
                  <c:v>54.104706360653005</c:v>
                </c:pt>
                <c:pt idx="381">
                  <c:v>54.328197946545252</c:v>
                </c:pt>
                <c:pt idx="382">
                  <c:v>54.55151609602423</c:v>
                </c:pt>
                <c:pt idx="383">
                  <c:v>54.77466120016841</c:v>
                </c:pt>
                <c:pt idx="384">
                  <c:v>54.997633648850709</c:v>
                </c:pt>
                <c:pt idx="385">
                  <c:v>55.220433830743637</c:v>
                </c:pt>
                <c:pt idx="386">
                  <c:v>55.443062133324382</c:v>
                </c:pt>
                <c:pt idx="387">
                  <c:v>55.665518942879906</c:v>
                </c:pt>
                <c:pt idx="388">
                  <c:v>55.887804644511967</c:v>
                </c:pt>
                <c:pt idx="389">
                  <c:v>56.109919622142158</c:v>
                </c:pt>
                <c:pt idx="390">
                  <c:v>56.331864258516902</c:v>
                </c:pt>
                <c:pt idx="391">
                  <c:v>56.553638935212412</c:v>
                </c:pt>
                <c:pt idx="392">
                  <c:v>56.775244032639627</c:v>
                </c:pt>
                <c:pt idx="393">
                  <c:v>56.996679930049147</c:v>
                </c:pt>
                <c:pt idx="394">
                  <c:v>57.217947005536104</c:v>
                </c:pt>
                <c:pt idx="395">
                  <c:v>57.43904563604503</c:v>
                </c:pt>
                <c:pt idx="396">
                  <c:v>57.659976197374711</c:v>
                </c:pt>
                <c:pt idx="397">
                  <c:v>57.880739064182983</c:v>
                </c:pt>
                <c:pt idx="398">
                  <c:v>58.101334609991525</c:v>
                </c:pt>
                <c:pt idx="399">
                  <c:v>58.321763207190614</c:v>
                </c:pt>
                <c:pt idx="400">
                  <c:v>58.542025227043879</c:v>
                </c:pt>
                <c:pt idx="401">
                  <c:v>60.735512344941007</c:v>
                </c:pt>
                <c:pt idx="402">
                  <c:v>62.91258035578187</c:v>
                </c:pt>
                <c:pt idx="403">
                  <c:v>65.073590084563108</c:v>
                </c:pt>
                <c:pt idx="404">
                  <c:v>67.21889169143941</c:v>
                </c:pt>
                <c:pt idx="405">
                  <c:v>69.348825104925652</c:v>
                </c:pt>
                <c:pt idx="406">
                  <c:v>71.463720433302456</c:v>
                </c:pt>
                <c:pt idx="407">
                  <c:v>73.563898355537631</c:v>
                </c:pt>
                <c:pt idx="408">
                  <c:v>75.649670492944267</c:v>
                </c:pt>
                <c:pt idx="409">
                  <c:v>77.721339762712063</c:v>
                </c:pt>
                <c:pt idx="410">
                  <c:v>79.779200714370504</c:v>
                </c:pt>
                <c:pt idx="411">
                  <c:v>81.823539850170846</c:v>
                </c:pt>
                <c:pt idx="412">
                  <c:v>83.854635930307737</c:v>
                </c:pt>
                <c:pt idx="413">
                  <c:v>85.872760263839936</c:v>
                </c:pt>
                <c:pt idx="414">
                  <c:v>87.878176986113274</c:v>
                </c:pt>
                <c:pt idx="415">
                  <c:v>89.871143323436513</c:v>
                </c:pt>
                <c:pt idx="416">
                  <c:v>91.851909845712328</c:v>
                </c:pt>
                <c:pt idx="417">
                  <c:v>93.82072070768082</c:v>
                </c:pt>
                <c:pt idx="418">
                  <c:v>95.777813879391289</c:v>
                </c:pt>
                <c:pt idx="419">
                  <c:v>97.723421366479187</c:v>
                </c:pt>
                <c:pt idx="420">
                  <c:v>99.657769420789606</c:v>
                </c:pt>
                <c:pt idx="421">
                  <c:v>101.58107874185501</c:v>
                </c:pt>
                <c:pt idx="422">
                  <c:v>103.49356466970399</c:v>
                </c:pt>
                <c:pt idx="423">
                  <c:v>105.39543736944908</c:v>
                </c:pt>
                <c:pt idx="424">
                  <c:v>107.28690200807463</c:v>
                </c:pt>
                <c:pt idx="425">
                  <c:v>109.16815892382061</c:v>
                </c:pt>
                <c:pt idx="426">
                  <c:v>111.03940378853518</c:v>
                </c:pt>
                <c:pt idx="427">
                  <c:v>112.90082776334674</c:v>
                </c:pt>
                <c:pt idx="428">
                  <c:v>114.75261764798601</c:v>
                </c:pt>
                <c:pt idx="429">
                  <c:v>116.59495602406962</c:v>
                </c:pt>
                <c:pt idx="430">
                  <c:v>118.4280213926388</c:v>
                </c:pt>
                <c:pt idx="431">
                  <c:v>120.25198830623054</c:v>
                </c:pt>
                <c:pt idx="432">
                  <c:v>122.06702749574252</c:v>
                </c:pt>
                <c:pt idx="433">
                  <c:v>123.87330599233889</c:v>
                </c:pt>
                <c:pt idx="434">
                  <c:v>125.67098724463017</c:v>
                </c:pt>
                <c:pt idx="435">
                  <c:v>127.46023123134808</c:v>
                </c:pt>
                <c:pt idx="436">
                  <c:v>129.2411945697234</c:v>
                </c:pt>
                <c:pt idx="437">
                  <c:v>131.01403061976455</c:v>
                </c:pt>
                <c:pt idx="438">
                  <c:v>132.77888958462347</c:v>
                </c:pt>
                <c:pt idx="439">
                  <c:v>134.53591860722543</c:v>
                </c:pt>
                <c:pt idx="440">
                  <c:v>136.28526186333053</c:v>
                </c:pt>
                <c:pt idx="441">
                  <c:v>138.02706065118531</c:v>
                </c:pt>
                <c:pt idx="442">
                  <c:v>139.7614534779149</c:v>
                </c:pt>
                <c:pt idx="443">
                  <c:v>141.48857614279845</c:v>
                </c:pt>
                <c:pt idx="444">
                  <c:v>143.20856181756298</c:v>
                </c:pt>
                <c:pt idx="445">
                  <c:v>144.92154112382406</c:v>
                </c:pt>
                <c:pt idx="446">
                  <c:v>146.62764220779533</c:v>
                </c:pt>
                <c:pt idx="447">
                  <c:v>148.32699081238229</c:v>
                </c:pt>
                <c:pt idx="448">
                  <c:v>150.01971034677047</c:v>
                </c:pt>
                <c:pt idx="449">
                  <c:v>151.7059219536124</c:v>
                </c:pt>
                <c:pt idx="450">
                  <c:v>153.3857445739124</c:v>
                </c:pt>
                <c:pt idx="451">
                  <c:v>155.05929500970379</c:v>
                </c:pt>
                <c:pt idx="452">
                  <c:v>156.72668798460791</c:v>
                </c:pt>
                <c:pt idx="453">
                  <c:v>158.3880362023605</c:v>
                </c:pt>
                <c:pt idx="454">
                  <c:v>160.04345040338646</c:v>
                </c:pt>
                <c:pt idx="455">
                  <c:v>161.69303941949997</c:v>
                </c:pt>
                <c:pt idx="456">
                  <c:v>163.33691022680367</c:v>
                </c:pt>
                <c:pt idx="457">
                  <c:v>164.97516799685656</c:v>
                </c:pt>
                <c:pt idx="458">
                  <c:v>166.60791614617716</c:v>
                </c:pt>
                <c:pt idx="459">
                  <c:v>168.23525638414506</c:v>
                </c:pt>
                <c:pt idx="460">
                  <c:v>169.85728875936113</c:v>
                </c:pt>
                <c:pt idx="461">
                  <c:v>171.47411170452349</c:v>
                </c:pt>
                <c:pt idx="462">
                  <c:v>173.08582207987394</c:v>
                </c:pt>
                <c:pt idx="463">
                  <c:v>174.69251521526607</c:v>
                </c:pt>
                <c:pt idx="464">
                  <c:v>176.29428495090494</c:v>
                </c:pt>
                <c:pt idx="465">
                  <c:v>177.89122367680432</c:v>
                </c:pt>
                <c:pt idx="466">
                  <c:v>179.48342237100653</c:v>
                </c:pt>
                <c:pt idx="467">
                  <c:v>181.07097063660649</c:v>
                </c:pt>
                <c:pt idx="468">
                  <c:v>182.65395673762012</c:v>
                </c:pt>
                <c:pt idx="469">
                  <c:v>184.23246763373481</c:v>
                </c:pt>
                <c:pt idx="470">
                  <c:v>185.8065890139776</c:v>
                </c:pt>
                <c:pt idx="471">
                  <c:v>187.37640532933503</c:v>
                </c:pt>
                <c:pt idx="472">
                  <c:v>188.94199982435612</c:v>
                </c:pt>
                <c:pt idx="473">
                  <c:v>190.50345456776856</c:v>
                </c:pt>
                <c:pt idx="474">
                  <c:v>192.06085048213603</c:v>
                </c:pt>
                <c:pt idx="475">
                  <c:v>193.61426737258276</c:v>
                </c:pt>
                <c:pt idx="476">
                  <c:v>195.1637839546097</c:v>
                </c:pt>
                <c:pt idx="477">
                  <c:v>196.70947788102455</c:v>
                </c:pt>
                <c:pt idx="478">
                  <c:v>198.2514257680067</c:v>
                </c:pt>
                <c:pt idx="479">
                  <c:v>199.78970322032529</c:v>
                </c:pt>
                <c:pt idx="480">
                  <c:v>201.32438485572789</c:v>
                </c:pt>
                <c:pt idx="481">
                  <c:v>202.85554432851441</c:v>
                </c:pt>
                <c:pt idx="482">
                  <c:v>204.38325435230945</c:v>
                </c:pt>
                <c:pt idx="483">
                  <c:v>205.90758672204407</c:v>
                </c:pt>
                <c:pt idx="484">
                  <c:v>207.42861233515615</c:v>
                </c:pt>
                <c:pt idx="485">
                  <c:v>208.94640121201564</c:v>
                </c:pt>
                <c:pt idx="486">
                  <c:v>210.46102251557969</c:v>
                </c:pt>
                <c:pt idx="487">
                  <c:v>211.97254457027921</c:v>
                </c:pt>
                <c:pt idx="488">
                  <c:v>213.48103488013666</c:v>
                </c:pt>
                <c:pt idx="489">
                  <c:v>214.98656014611117</c:v>
                </c:pt>
                <c:pt idx="490">
                  <c:v>216.48918628266526</c:v>
                </c:pt>
                <c:pt idx="491">
                  <c:v>217.9889784335428</c:v>
                </c:pt>
                <c:pt idx="492">
                  <c:v>219.48600098674535</c:v>
                </c:pt>
                <c:pt idx="493">
                  <c:v>220.9803175886897</c:v>
                </c:pt>
                <c:pt idx="494">
                  <c:v>222.471991157525</c:v>
                </c:pt>
                <c:pt idx="495">
                  <c:v>223.96108389558324</c:v>
                </c:pt>
                <c:pt idx="496">
                  <c:v>225.44765730093172</c:v>
                </c:pt>
                <c:pt idx="497">
                  <c:v>226.93177217798976</c:v>
                </c:pt>
                <c:pt idx="498">
                  <c:v>228.41348864716582</c:v>
                </c:pt>
                <c:pt idx="499">
                  <c:v>229.89286615346353</c:v>
                </c:pt>
                <c:pt idx="500">
                  <c:v>231.36996347399662</c:v>
                </c:pt>
                <c:pt idx="501">
                  <c:v>232.84483872434376</c:v>
                </c:pt>
                <c:pt idx="502">
                  <c:v>234.31754936366295</c:v>
                </c:pt>
                <c:pt idx="503">
                  <c:v>235.78815219847399</c:v>
                </c:pt>
                <c:pt idx="504">
                  <c:v>237.25670338500277</c:v>
                </c:pt>
                <c:pt idx="505">
                  <c:v>238.72325842996617</c:v>
                </c:pt>
                <c:pt idx="506">
                  <c:v>240.18787218965858</c:v>
                </c:pt>
                <c:pt idx="507">
                  <c:v>241.65059886718007</c:v>
                </c:pt>
                <c:pt idx="508">
                  <c:v>243.11149200762412</c:v>
                </c:pt>
                <c:pt idx="509">
                  <c:v>244.57060449101553</c:v>
                </c:pt>
                <c:pt idx="510">
                  <c:v>246.02798852275947</c:v>
                </c:pt>
                <c:pt idx="511">
                  <c:v>247.48369562132865</c:v>
                </c:pt>
                <c:pt idx="512">
                  <c:v>248.937776602876</c:v>
                </c:pt>
                <c:pt idx="513">
                  <c:v>250.3902815624171</c:v>
                </c:pt>
                <c:pt idx="514">
                  <c:v>251.84125985117649</c:v>
                </c:pt>
                <c:pt idx="515">
                  <c:v>253.2907600496365</c:v>
                </c:pt>
                <c:pt idx="516">
                  <c:v>254.73882993576635</c:v>
                </c:pt>
                <c:pt idx="517">
                  <c:v>256.18551644784094</c:v>
                </c:pt>
                <c:pt idx="518">
                  <c:v>257.6308656411872</c:v>
                </c:pt>
                <c:pt idx="519">
                  <c:v>259.07492263811861</c:v>
                </c:pt>
                <c:pt idx="520">
                  <c:v>260.51773157024206</c:v>
                </c:pt>
                <c:pt idx="521">
                  <c:v>261.95933551224743</c:v>
                </c:pt>
                <c:pt idx="522">
                  <c:v>263.39977640622635</c:v>
                </c:pt>
                <c:pt idx="523">
                  <c:v>264.83909497552361</c:v>
                </c:pt>
                <c:pt idx="524">
                  <c:v>266.27733062711684</c:v>
                </c:pt>
                <c:pt idx="525">
                  <c:v>267.71452134156476</c:v>
                </c:pt>
                <c:pt idx="526">
                  <c:v>269.15070354969095</c:v>
                </c:pt>
                <c:pt idx="527">
                  <c:v>270.58591199540757</c:v>
                </c:pt>
                <c:pt idx="528">
                  <c:v>272.02017958447249</c:v>
                </c:pt>
                <c:pt idx="529">
                  <c:v>273.45353721954996</c:v>
                </c:pt>
                <c:pt idx="530">
                  <c:v>274.8860136227521</c:v>
                </c:pt>
                <c:pt idx="531">
                  <c:v>276.31763514788724</c:v>
                </c:pt>
                <c:pt idx="532">
                  <c:v>277.74842558593105</c:v>
                </c:pt>
                <c:pt idx="533">
                  <c:v>279.17840596869655</c:v>
                </c:pt>
                <c:pt idx="534">
                  <c:v>280.60759437718707</c:v>
                </c:pt>
                <c:pt idx="535">
                  <c:v>282.03600576245748</c:v>
                </c:pt>
                <c:pt idx="536">
                  <c:v>283.46365178772339</c:v>
                </c:pt>
                <c:pt idx="537">
                  <c:v>284.89054070065004</c:v>
                </c:pt>
                <c:pt idx="538">
                  <c:v>286.3166772440012</c:v>
                </c:pt>
                <c:pt idx="539">
                  <c:v>287.74206261104484</c:v>
                </c:pt>
                <c:pt idx="540">
                  <c:v>289.1666944494242</c:v>
                </c:pt>
                <c:pt idx="541">
                  <c:v>290.59056691395062</c:v>
                </c:pt>
                <c:pt idx="542">
                  <c:v>292.01367076544869</c:v>
                </c:pt>
                <c:pt idx="543">
                  <c:v>293.43599350989132</c:v>
                </c:pt>
                <c:pt idx="544">
                  <c:v>294.85751957000082</c:v>
                </c:pt>
                <c:pt idx="545">
                  <c:v>296.27823048045065</c:v>
                </c:pt>
                <c:pt idx="546">
                  <c:v>297.69810509775363</c:v>
                </c:pt>
                <c:pt idx="547">
                  <c:v>299.11711981667162</c:v>
                </c:pt>
                <c:pt idx="548">
                  <c:v>300.53524878624432</c:v>
                </c:pt>
                <c:pt idx="549">
                  <c:v>301.95246412003331</c:v>
                </c:pt>
                <c:pt idx="550">
                  <c:v>303.36873609668123</c:v>
                </c:pt>
                <c:pt idx="551">
                  <c:v>304.78403334824128</c:v>
                </c:pt>
                <c:pt idx="552">
                  <c:v>306.19832303485998</c:v>
                </c:pt>
                <c:pt idx="553">
                  <c:v>307.61157100527322</c:v>
                </c:pt>
                <c:pt idx="554">
                  <c:v>309.0237419432159</c:v>
                </c:pt>
                <c:pt idx="555">
                  <c:v>310.43479950028222</c:v>
                </c:pt>
                <c:pt idx="556">
                  <c:v>311.8447064160485</c:v>
                </c:pt>
                <c:pt idx="557">
                  <c:v>313.25342462642072</c:v>
                </c:pt>
                <c:pt idx="558">
                  <c:v>314.66091536123264</c:v>
                </c:pt>
                <c:pt idx="559">
                  <c:v>316.06713923211993</c:v>
                </c:pt>
                <c:pt idx="560">
                  <c:v>317.47205631165997</c:v>
                </c:pt>
                <c:pt idx="561">
                  <c:v>318.87562620470368</c:v>
                </c:pt>
                <c:pt idx="562">
                  <c:v>320.27780811275272</c:v>
                </c:pt>
                <c:pt idx="563">
                  <c:v>321.67856089215644</c:v>
                </c:pt>
                <c:pt idx="564">
                  <c:v>323.07784310682456</c:v>
                </c:pt>
                <c:pt idx="565">
                  <c:v>324.47561307607668</c:v>
                </c:pt>
                <c:pt idx="566">
                  <c:v>325.87182891817957</c:v>
                </c:pt>
                <c:pt idx="567">
                  <c:v>327.26644859005893</c:v>
                </c:pt>
                <c:pt idx="568">
                  <c:v>328.65942992361562</c:v>
                </c:pt>
                <c:pt idx="569">
                  <c:v>330.05073065902343</c:v>
                </c:pt>
                <c:pt idx="570">
                  <c:v>331.44030847534054</c:v>
                </c:pt>
                <c:pt idx="571">
                  <c:v>332.82812101872673</c:v>
                </c:pt>
                <c:pt idx="572">
                  <c:v>334.21412592852158</c:v>
                </c:pt>
                <c:pt idx="573">
                  <c:v>335.59828086140959</c:v>
                </c:pt>
                <c:pt idx="574">
                  <c:v>336.98054351386895</c:v>
                </c:pt>
                <c:pt idx="575">
                  <c:v>338.36087164307884</c:v>
                </c:pt>
                <c:pt idx="576">
                  <c:v>339.73922308643768</c:v>
                </c:pt>
                <c:pt idx="577">
                  <c:v>341.1155557798275</c:v>
                </c:pt>
                <c:pt idx="578">
                  <c:v>342.48982777474356</c:v>
                </c:pt>
                <c:pt idx="579">
                  <c:v>343.86199725439417</c:v>
                </c:pt>
                <c:pt idx="580">
                  <c:v>345.23202254886388</c:v>
                </c:pt>
                <c:pt idx="581">
                  <c:v>346.59986214942239</c:v>
                </c:pt>
                <c:pt idx="582">
                  <c:v>347.96547472205236</c:v>
                </c:pt>
                <c:pt idx="583">
                  <c:v>349.32881912026079</c:v>
                </c:pt>
                <c:pt idx="584">
                  <c:v>350.68985439723178</c:v>
                </c:pt>
                <c:pt idx="585">
                  <c:v>352.04853981737256</c:v>
                </c:pt>
                <c:pt idx="586">
                  <c:v>353.40483486729767</c:v>
                </c:pt>
                <c:pt idx="587">
                  <c:v>354.75869926629343</c:v>
                </c:pt>
                <c:pt idx="588">
                  <c:v>356.11009297629857</c:v>
                </c:pt>
                <c:pt idx="589">
                  <c:v>357.45897621143405</c:v>
                </c:pt>
                <c:pt idx="590">
                  <c:v>358.80530944711165</c:v>
                </c:pt>
                <c:pt idx="591">
                  <c:v>360.149053428748</c:v>
                </c:pt>
                <c:pt idx="592">
                  <c:v>361.49016918010733</c:v>
                </c:pt>
                <c:pt idx="593">
                  <c:v>362.82861801129491</c:v>
                </c:pt>
                <c:pt idx="594">
                  <c:v>364.16436152642046</c:v>
                </c:pt>
                <c:pt idx="595">
                  <c:v>365.49736163094883</c:v>
                </c:pt>
                <c:pt idx="596">
                  <c:v>366.82758053875409</c:v>
                </c:pt>
                <c:pt idx="597">
                  <c:v>368.15498077889123</c:v>
                </c:pt>
                <c:pt idx="598">
                  <c:v>369.47952520209867</c:v>
                </c:pt>
                <c:pt idx="599">
                  <c:v>370.80117698704316</c:v>
                </c:pt>
                <c:pt idx="600">
                  <c:v>372.11989964631834</c:v>
                </c:pt>
                <c:pt idx="601">
                  <c:v>373.43565703220628</c:v>
                </c:pt>
                <c:pt idx="602">
                  <c:v>374.74841334221162</c:v>
                </c:pt>
                <c:pt idx="603">
                  <c:v>376.05813312437607</c:v>
                </c:pt>
                <c:pt idx="604">
                  <c:v>377.36478128238093</c:v>
                </c:pt>
                <c:pt idx="605">
                  <c:v>378.66832308044496</c:v>
                </c:pt>
                <c:pt idx="606">
                  <c:v>379.96872414802351</c:v>
                </c:pt>
                <c:pt idx="607">
                  <c:v>381.26595048431506</c:v>
                </c:pt>
                <c:pt idx="608">
                  <c:v>382.5599684625808</c:v>
                </c:pt>
                <c:pt idx="609">
                  <c:v>383.85074483428184</c:v>
                </c:pt>
                <c:pt idx="610">
                  <c:v>385.13824673303941</c:v>
                </c:pt>
                <c:pt idx="611">
                  <c:v>386.42244167842159</c:v>
                </c:pt>
                <c:pt idx="612">
                  <c:v>387.70329757956165</c:v>
                </c:pt>
                <c:pt idx="613">
                  <c:v>388.98078273861097</c:v>
                </c:pt>
                <c:pt idx="614">
                  <c:v>390.25486585403053</c:v>
                </c:pt>
                <c:pt idx="615">
                  <c:v>391.52551602372432</c:v>
                </c:pt>
                <c:pt idx="616">
                  <c:v>392.79270274801775</c:v>
                </c:pt>
                <c:pt idx="617">
                  <c:v>394.05639593248412</c:v>
                </c:pt>
                <c:pt idx="618">
                  <c:v>395.31656589062209</c:v>
                </c:pt>
                <c:pt idx="619">
                  <c:v>396.57318334638666</c:v>
                </c:pt>
                <c:pt idx="620">
                  <c:v>397.82621943657637</c:v>
                </c:pt>
                <c:pt idx="621">
                  <c:v>399.07564571307927</c:v>
                </c:pt>
                <c:pt idx="622">
                  <c:v>400.32143414497983</c:v>
                </c:pt>
                <c:pt idx="623">
                  <c:v>401.56355712052931</c:v>
                </c:pt>
                <c:pt idx="624">
                  <c:v>402.80198744898149</c:v>
                </c:pt>
                <c:pt idx="625">
                  <c:v>404.03669836229619</c:v>
                </c:pt>
                <c:pt idx="626">
                  <c:v>405.26766351671262</c:v>
                </c:pt>
                <c:pt idx="627">
                  <c:v>406.49485699419409</c:v>
                </c:pt>
                <c:pt idx="628">
                  <c:v>407.71825330374696</c:v>
                </c:pt>
                <c:pt idx="629">
                  <c:v>408.93782738261456</c:v>
                </c:pt>
                <c:pt idx="630">
                  <c:v>410.15355459734911</c:v>
                </c:pt>
                <c:pt idx="631">
                  <c:v>411.36541074476264</c:v>
                </c:pt>
                <c:pt idx="632">
                  <c:v>412.57337205275905</c:v>
                </c:pt>
                <c:pt idx="633">
                  <c:v>413.77741518104909</c:v>
                </c:pt>
                <c:pt idx="634">
                  <c:v>414.97751722174996</c:v>
                </c:pt>
                <c:pt idx="635">
                  <c:v>416.17365569987129</c:v>
                </c:pt>
                <c:pt idx="636">
                  <c:v>417.36580857368909</c:v>
                </c:pt>
                <c:pt idx="637">
                  <c:v>418.55395423500948</c:v>
                </c:pt>
                <c:pt idx="638">
                  <c:v>419.73807150932396</c:v>
                </c:pt>
                <c:pt idx="639">
                  <c:v>420.9181396558576</c:v>
                </c:pt>
                <c:pt idx="640">
                  <c:v>422.09413836751219</c:v>
                </c:pt>
                <c:pt idx="641">
                  <c:v>423.26604777070571</c:v>
                </c:pt>
                <c:pt idx="642">
                  <c:v>424.43384842510989</c:v>
                </c:pt>
                <c:pt idx="643">
                  <c:v>425.59752132328742</c:v>
                </c:pt>
                <c:pt idx="644">
                  <c:v>426.75704789023058</c:v>
                </c:pt>
                <c:pt idx="645">
                  <c:v>427.91240998280273</c:v>
                </c:pt>
                <c:pt idx="646">
                  <c:v>429.06358988908454</c:v>
                </c:pt>
                <c:pt idx="647">
                  <c:v>430.21057032762621</c:v>
                </c:pt>
                <c:pt idx="648">
                  <c:v>431.35333444660785</c:v>
                </c:pt>
                <c:pt idx="649">
                  <c:v>432.49186582290895</c:v>
                </c:pt>
                <c:pt idx="650">
                  <c:v>433.62614846108926</c:v>
                </c:pt>
                <c:pt idx="651">
                  <c:v>434.7561667922821</c:v>
                </c:pt>
                <c:pt idx="652">
                  <c:v>435.88190567300228</c:v>
                </c:pt>
                <c:pt idx="653">
                  <c:v>437.00335038386959</c:v>
                </c:pt>
                <c:pt idx="654">
                  <c:v>438.12048662825021</c:v>
                </c:pt>
                <c:pt idx="655">
                  <c:v>439.2333005308169</c:v>
                </c:pt>
                <c:pt idx="656">
                  <c:v>440.34177863603037</c:v>
                </c:pt>
                <c:pt idx="657">
                  <c:v>441.44590790654274</c:v>
                </c:pt>
                <c:pt idx="658">
                  <c:v>442.54567572152513</c:v>
                </c:pt>
                <c:pt idx="659">
                  <c:v>443.64106987492079</c:v>
                </c:pt>
                <c:pt idx="660">
                  <c:v>444.73207857362564</c:v>
                </c:pt>
                <c:pt idx="661">
                  <c:v>445.81869043559743</c:v>
                </c:pt>
                <c:pt idx="662">
                  <c:v>446.90089448789547</c:v>
                </c:pt>
                <c:pt idx="663">
                  <c:v>447.9786801646523</c:v>
                </c:pt>
                <c:pt idx="664">
                  <c:v>449.05203730497908</c:v>
                </c:pt>
                <c:pt idx="665">
                  <c:v>450.12095615080625</c:v>
                </c:pt>
                <c:pt idx="666">
                  <c:v>451.18542734466092</c:v>
                </c:pt>
                <c:pt idx="667">
                  <c:v>452.24544192738279</c:v>
                </c:pt>
                <c:pt idx="668">
                  <c:v>453.30099133578</c:v>
                </c:pt>
                <c:pt idx="669">
                  <c:v>454.35206740022653</c:v>
                </c:pt>
                <c:pt idx="670">
                  <c:v>455.39866234220301</c:v>
                </c:pt>
                <c:pt idx="671">
                  <c:v>456.4407687717819</c:v>
                </c:pt>
                <c:pt idx="672">
                  <c:v>457.47837968505922</c:v>
                </c:pt>
                <c:pt idx="673">
                  <c:v>458.51148846153404</c:v>
                </c:pt>
                <c:pt idx="674">
                  <c:v>459.54008886143748</c:v>
                </c:pt>
                <c:pt idx="675">
                  <c:v>460.56417502301247</c:v>
                </c:pt>
                <c:pt idx="676">
                  <c:v>461.58374145974608</c:v>
                </c:pt>
                <c:pt idx="677">
                  <c:v>462.59878305755586</c:v>
                </c:pt>
                <c:pt idx="678">
                  <c:v>463.6092950719318</c:v>
                </c:pt>
                <c:pt idx="679">
                  <c:v>464.615273125035</c:v>
                </c:pt>
                <c:pt idx="680">
                  <c:v>465.61671320275525</c:v>
                </c:pt>
                <c:pt idx="681">
                  <c:v>466.61361165172843</c:v>
                </c:pt>
                <c:pt idx="682">
                  <c:v>467.60596517631524</c:v>
                </c:pt>
                <c:pt idx="683">
                  <c:v>468.59377083554324</c:v>
                </c:pt>
                <c:pt idx="684">
                  <c:v>469.57702604001292</c:v>
                </c:pt>
                <c:pt idx="685">
                  <c:v>470.55572854877005</c:v>
                </c:pt>
                <c:pt idx="686">
                  <c:v>471.52987646614474</c:v>
                </c:pt>
                <c:pt idx="687">
                  <c:v>472.49946823855981</c:v>
                </c:pt>
                <c:pt idx="688">
                  <c:v>473.46450265130869</c:v>
                </c:pt>
                <c:pt idx="689">
                  <c:v>474.42497882530529</c:v>
                </c:pt>
                <c:pt idx="690">
                  <c:v>475.38089621380641</c:v>
                </c:pt>
                <c:pt idx="691">
                  <c:v>476.33225459910847</c:v>
                </c:pt>
                <c:pt idx="692">
                  <c:v>477.27905408921987</c:v>
                </c:pt>
                <c:pt idx="693">
                  <c:v>478.22129511451033</c:v>
                </c:pt>
                <c:pt idx="694">
                  <c:v>479.1589784243381</c:v>
                </c:pt>
                <c:pt idx="695">
                  <c:v>480.09210508365715</c:v>
                </c:pt>
                <c:pt idx="696">
                  <c:v>481.02067646960489</c:v>
                </c:pt>
                <c:pt idx="697">
                  <c:v>481.94469426807211</c:v>
                </c:pt>
                <c:pt idx="698">
                  <c:v>482.86416047025614</c:v>
                </c:pt>
                <c:pt idx="699">
                  <c:v>483.77907736919877</c:v>
                </c:pt>
                <c:pt idx="700">
                  <c:v>484.6894475563098</c:v>
                </c:pt>
                <c:pt idx="701">
                  <c:v>485.59527391787771</c:v>
                </c:pt>
                <c:pt idx="702">
                  <c:v>486.49655963156846</c:v>
                </c:pt>
                <c:pt idx="703">
                  <c:v>487.39330816291368</c:v>
                </c:pt>
                <c:pt idx="704">
                  <c:v>488.28552326178942</c:v>
                </c:pt>
                <c:pt idx="705">
                  <c:v>489.17320895888651</c:v>
                </c:pt>
                <c:pt idx="706">
                  <c:v>490.05636956217364</c:v>
                </c:pt>
                <c:pt idx="707">
                  <c:v>490.93500965335443</c:v>
                </c:pt>
                <c:pt idx="708">
                  <c:v>491.80913408431945</c:v>
                </c:pt>
                <c:pt idx="709">
                  <c:v>492.67874797359406</c:v>
                </c:pt>
                <c:pt idx="710">
                  <c:v>493.54385670278356</c:v>
                </c:pt>
                <c:pt idx="711">
                  <c:v>494.40446591301628</c:v>
                </c:pt>
                <c:pt idx="712">
                  <c:v>495.26058150138584</c:v>
                </c:pt>
                <c:pt idx="713">
                  <c:v>496.11220961739332</c:v>
                </c:pt>
                <c:pt idx="714">
                  <c:v>496.95935665939083</c:v>
                </c:pt>
                <c:pt idx="715">
                  <c:v>497.8020292710267</c:v>
                </c:pt>
                <c:pt idx="716">
                  <c:v>498.64023433769376</c:v>
                </c:pt>
                <c:pt idx="717">
                  <c:v>499.47397898298163</c:v>
                </c:pt>
                <c:pt idx="718">
                  <c:v>500.30327056513352</c:v>
                </c:pt>
                <c:pt idx="719">
                  <c:v>501.12811667350866</c:v>
                </c:pt>
                <c:pt idx="720">
                  <c:v>501.9485251250515</c:v>
                </c:pt>
                <c:pt idx="721">
                  <c:v>502.7645039607678</c:v>
                </c:pt>
                <c:pt idx="722">
                  <c:v>503.57606144220915</c:v>
                </c:pt>
                <c:pt idx="723">
                  <c:v>504.38320604796644</c:v>
                </c:pt>
                <c:pt idx="724">
                  <c:v>505.18594647017267</c:v>
                </c:pt>
                <c:pt idx="725">
                  <c:v>505.98429161101689</c:v>
                </c:pt>
                <c:pt idx="726">
                  <c:v>506.77825057926867</c:v>
                </c:pt>
                <c:pt idx="727">
                  <c:v>507.56783268681505</c:v>
                </c:pt>
                <c:pt idx="728">
                  <c:v>508.35304744520988</c:v>
                </c:pt>
                <c:pt idx="729">
                  <c:v>509.13390456223658</c:v>
                </c:pt>
                <c:pt idx="730">
                  <c:v>509.91041393848485</c:v>
                </c:pt>
                <c:pt idx="731">
                  <c:v>510.68258566394218</c:v>
                </c:pt>
                <c:pt idx="732">
                  <c:v>511.45043001460056</c:v>
                </c:pt>
                <c:pt idx="733">
                  <c:v>512.21395744907909</c:v>
                </c:pt>
                <c:pt idx="734">
                  <c:v>512.97317860526334</c:v>
                </c:pt>
                <c:pt idx="735">
                  <c:v>513.72810429696142</c:v>
                </c:pt>
                <c:pt idx="736">
                  <c:v>514.47874551057805</c:v>
                </c:pt>
                <c:pt idx="737">
                  <c:v>515.22511340180665</c:v>
                </c:pt>
                <c:pt idx="738">
                  <c:v>515.22511340180665</c:v>
                </c:pt>
                <c:pt idx="739">
                  <c:v>515.22511340180665</c:v>
                </c:pt>
                <c:pt idx="740">
                  <c:v>515.22511340180665</c:v>
                </c:pt>
                <c:pt idx="741">
                  <c:v>515.22511340180665</c:v>
                </c:pt>
                <c:pt idx="742">
                  <c:v>515.22511340180665</c:v>
                </c:pt>
                <c:pt idx="743">
                  <c:v>515.22511340180665</c:v>
                </c:pt>
                <c:pt idx="744">
                  <c:v>515.22511340180665</c:v>
                </c:pt>
                <c:pt idx="745">
                  <c:v>515.22511340180665</c:v>
                </c:pt>
                <c:pt idx="746">
                  <c:v>515.22511340180665</c:v>
                </c:pt>
                <c:pt idx="747">
                  <c:v>515.22511340180665</c:v>
                </c:pt>
                <c:pt idx="748">
                  <c:v>515.22511340180665</c:v>
                </c:pt>
                <c:pt idx="749">
                  <c:v>515.22511340180665</c:v>
                </c:pt>
                <c:pt idx="750">
                  <c:v>515.22511340180665</c:v>
                </c:pt>
                <c:pt idx="751">
                  <c:v>515.22511340180665</c:v>
                </c:pt>
                <c:pt idx="752">
                  <c:v>515.22511340180665</c:v>
                </c:pt>
                <c:pt idx="753">
                  <c:v>515.22511340180665</c:v>
                </c:pt>
                <c:pt idx="754">
                  <c:v>515.22511340180665</c:v>
                </c:pt>
                <c:pt idx="755">
                  <c:v>515.22511340180665</c:v>
                </c:pt>
                <c:pt idx="756">
                  <c:v>515.22511340180665</c:v>
                </c:pt>
                <c:pt idx="757">
                  <c:v>515.22511340180665</c:v>
                </c:pt>
                <c:pt idx="758">
                  <c:v>515.22511340180665</c:v>
                </c:pt>
                <c:pt idx="759">
                  <c:v>515.22511340180665</c:v>
                </c:pt>
                <c:pt idx="760">
                  <c:v>515.22511340180665</c:v>
                </c:pt>
                <c:pt idx="761">
                  <c:v>515.22511340180665</c:v>
                </c:pt>
                <c:pt idx="762">
                  <c:v>515.22511340180665</c:v>
                </c:pt>
                <c:pt idx="763">
                  <c:v>515.22511340180665</c:v>
                </c:pt>
                <c:pt idx="764">
                  <c:v>515.22511340180665</c:v>
                </c:pt>
                <c:pt idx="765">
                  <c:v>515.22511340180665</c:v>
                </c:pt>
                <c:pt idx="766">
                  <c:v>515.22511340180665</c:v>
                </c:pt>
                <c:pt idx="767">
                  <c:v>515.22511340180665</c:v>
                </c:pt>
                <c:pt idx="768">
                  <c:v>515.22511340180665</c:v>
                </c:pt>
                <c:pt idx="769">
                  <c:v>515.22511340180665</c:v>
                </c:pt>
                <c:pt idx="770">
                  <c:v>515.22511340180665</c:v>
                </c:pt>
                <c:pt idx="771">
                  <c:v>515.22511340180665</c:v>
                </c:pt>
                <c:pt idx="772">
                  <c:v>515.22511340180665</c:v>
                </c:pt>
                <c:pt idx="773">
                  <c:v>515.22511340180665</c:v>
                </c:pt>
                <c:pt idx="774">
                  <c:v>515.22511340180665</c:v>
                </c:pt>
                <c:pt idx="775">
                  <c:v>515.22511340180665</c:v>
                </c:pt>
                <c:pt idx="776">
                  <c:v>515.22511340180665</c:v>
                </c:pt>
                <c:pt idx="777">
                  <c:v>515.22511340180665</c:v>
                </c:pt>
                <c:pt idx="778">
                  <c:v>515.22511340180665</c:v>
                </c:pt>
                <c:pt idx="779">
                  <c:v>515.22511340180665</c:v>
                </c:pt>
                <c:pt idx="780">
                  <c:v>515.22511340180665</c:v>
                </c:pt>
                <c:pt idx="781">
                  <c:v>515.22511340180665</c:v>
                </c:pt>
                <c:pt idx="782">
                  <c:v>515.22511340180665</c:v>
                </c:pt>
                <c:pt idx="783">
                  <c:v>515.22511340180665</c:v>
                </c:pt>
                <c:pt idx="784">
                  <c:v>515.22511340180665</c:v>
                </c:pt>
                <c:pt idx="785">
                  <c:v>515.22511340180665</c:v>
                </c:pt>
                <c:pt idx="786">
                  <c:v>515.22511340180665</c:v>
                </c:pt>
                <c:pt idx="787">
                  <c:v>515.22511340180665</c:v>
                </c:pt>
                <c:pt idx="788">
                  <c:v>515.22511340180665</c:v>
                </c:pt>
                <c:pt idx="789">
                  <c:v>515.22511340180665</c:v>
                </c:pt>
                <c:pt idx="790">
                  <c:v>515.22511340180665</c:v>
                </c:pt>
                <c:pt idx="791">
                  <c:v>515.22511340180665</c:v>
                </c:pt>
                <c:pt idx="792">
                  <c:v>515.22511340180665</c:v>
                </c:pt>
                <c:pt idx="793">
                  <c:v>515.22511340180665</c:v>
                </c:pt>
                <c:pt idx="794">
                  <c:v>515.22511340180665</c:v>
                </c:pt>
                <c:pt idx="795">
                  <c:v>515.22511340180665</c:v>
                </c:pt>
                <c:pt idx="796">
                  <c:v>515.22511340180665</c:v>
                </c:pt>
                <c:pt idx="797">
                  <c:v>515.22511340180665</c:v>
                </c:pt>
                <c:pt idx="798">
                  <c:v>515.22511340180665</c:v>
                </c:pt>
                <c:pt idx="799">
                  <c:v>515.22511340180665</c:v>
                </c:pt>
                <c:pt idx="800">
                  <c:v>515.22511340180665</c:v>
                </c:pt>
                <c:pt idx="801">
                  <c:v>515.22511340180665</c:v>
                </c:pt>
                <c:pt idx="802">
                  <c:v>515.22511340180665</c:v>
                </c:pt>
                <c:pt idx="803">
                  <c:v>515.22511340180665</c:v>
                </c:pt>
                <c:pt idx="804">
                  <c:v>515.22511340180665</c:v>
                </c:pt>
                <c:pt idx="805">
                  <c:v>515.22511340180665</c:v>
                </c:pt>
                <c:pt idx="806">
                  <c:v>515.22511340180665</c:v>
                </c:pt>
                <c:pt idx="807">
                  <c:v>515.22511340180665</c:v>
                </c:pt>
                <c:pt idx="808">
                  <c:v>515.22511340180665</c:v>
                </c:pt>
                <c:pt idx="809">
                  <c:v>515.22511340180665</c:v>
                </c:pt>
                <c:pt idx="810">
                  <c:v>515.22511340180665</c:v>
                </c:pt>
                <c:pt idx="811">
                  <c:v>515.22511340180665</c:v>
                </c:pt>
                <c:pt idx="812">
                  <c:v>515.22511340180665</c:v>
                </c:pt>
                <c:pt idx="813">
                  <c:v>515.22511340180665</c:v>
                </c:pt>
                <c:pt idx="814">
                  <c:v>515.22511340180665</c:v>
                </c:pt>
                <c:pt idx="815">
                  <c:v>515.22511340180665</c:v>
                </c:pt>
                <c:pt idx="816">
                  <c:v>515.22511340180665</c:v>
                </c:pt>
                <c:pt idx="817">
                  <c:v>515.22511340180665</c:v>
                </c:pt>
                <c:pt idx="818">
                  <c:v>515.22511340180665</c:v>
                </c:pt>
                <c:pt idx="819">
                  <c:v>515.22511340180665</c:v>
                </c:pt>
                <c:pt idx="820">
                  <c:v>515.22511340180665</c:v>
                </c:pt>
                <c:pt idx="821">
                  <c:v>515.22511340180665</c:v>
                </c:pt>
                <c:pt idx="822">
                  <c:v>515.22511340180665</c:v>
                </c:pt>
                <c:pt idx="823">
                  <c:v>515.22511340180665</c:v>
                </c:pt>
                <c:pt idx="824">
                  <c:v>515.22511340180665</c:v>
                </c:pt>
                <c:pt idx="825">
                  <c:v>515.22511340180665</c:v>
                </c:pt>
                <c:pt idx="826">
                  <c:v>515.22511340180665</c:v>
                </c:pt>
                <c:pt idx="827">
                  <c:v>515.22511340180665</c:v>
                </c:pt>
                <c:pt idx="828">
                  <c:v>515.22511340180665</c:v>
                </c:pt>
                <c:pt idx="829">
                  <c:v>515.22511340180665</c:v>
                </c:pt>
                <c:pt idx="830">
                  <c:v>515.22511340180665</c:v>
                </c:pt>
                <c:pt idx="831">
                  <c:v>515.22511340180665</c:v>
                </c:pt>
                <c:pt idx="832">
                  <c:v>515.22511340180665</c:v>
                </c:pt>
                <c:pt idx="833">
                  <c:v>515.22511340180665</c:v>
                </c:pt>
                <c:pt idx="834">
                  <c:v>515.22511340180665</c:v>
                </c:pt>
                <c:pt idx="835">
                  <c:v>515.22511340180665</c:v>
                </c:pt>
                <c:pt idx="836">
                  <c:v>515.22511340180665</c:v>
                </c:pt>
                <c:pt idx="837">
                  <c:v>515.22511340180665</c:v>
                </c:pt>
                <c:pt idx="838">
                  <c:v>515.22511340180665</c:v>
                </c:pt>
                <c:pt idx="839">
                  <c:v>515.22511340180665</c:v>
                </c:pt>
                <c:pt idx="840">
                  <c:v>515.22511340180665</c:v>
                </c:pt>
                <c:pt idx="841">
                  <c:v>515.22511340180665</c:v>
                </c:pt>
                <c:pt idx="842">
                  <c:v>515.22511340180665</c:v>
                </c:pt>
                <c:pt idx="843">
                  <c:v>515.22511340180665</c:v>
                </c:pt>
                <c:pt idx="844">
                  <c:v>515.22511340180665</c:v>
                </c:pt>
                <c:pt idx="845">
                  <c:v>515.22511340180665</c:v>
                </c:pt>
                <c:pt idx="846">
                  <c:v>515.22511340180665</c:v>
                </c:pt>
                <c:pt idx="847">
                  <c:v>515.22511340180665</c:v>
                </c:pt>
                <c:pt idx="848">
                  <c:v>515.22511340180665</c:v>
                </c:pt>
                <c:pt idx="849">
                  <c:v>515.22511340180665</c:v>
                </c:pt>
                <c:pt idx="850">
                  <c:v>515.22511340180665</c:v>
                </c:pt>
                <c:pt idx="851">
                  <c:v>515.22511340180665</c:v>
                </c:pt>
                <c:pt idx="852">
                  <c:v>515.22511340180665</c:v>
                </c:pt>
                <c:pt idx="853">
                  <c:v>515.22511340180665</c:v>
                </c:pt>
                <c:pt idx="854">
                  <c:v>515.22511340180665</c:v>
                </c:pt>
                <c:pt idx="855">
                  <c:v>515.22511340180665</c:v>
                </c:pt>
                <c:pt idx="856">
                  <c:v>515.22511340180665</c:v>
                </c:pt>
                <c:pt idx="857">
                  <c:v>515.22511340180665</c:v>
                </c:pt>
                <c:pt idx="858">
                  <c:v>515.22511340180665</c:v>
                </c:pt>
                <c:pt idx="859">
                  <c:v>515.22511340180665</c:v>
                </c:pt>
                <c:pt idx="860">
                  <c:v>515.22511340180665</c:v>
                </c:pt>
                <c:pt idx="861">
                  <c:v>515.22511340180665</c:v>
                </c:pt>
                <c:pt idx="862">
                  <c:v>515.22511340180665</c:v>
                </c:pt>
                <c:pt idx="863">
                  <c:v>515.22511340180665</c:v>
                </c:pt>
                <c:pt idx="864">
                  <c:v>515.22511340180665</c:v>
                </c:pt>
                <c:pt idx="865">
                  <c:v>515.22511340180665</c:v>
                </c:pt>
                <c:pt idx="866">
                  <c:v>515.22511340180665</c:v>
                </c:pt>
                <c:pt idx="867">
                  <c:v>515.22511340180665</c:v>
                </c:pt>
                <c:pt idx="868">
                  <c:v>515.22511340180665</c:v>
                </c:pt>
                <c:pt idx="869">
                  <c:v>515.22511340180665</c:v>
                </c:pt>
                <c:pt idx="870">
                  <c:v>515.22511340180665</c:v>
                </c:pt>
                <c:pt idx="871">
                  <c:v>515.22511340180665</c:v>
                </c:pt>
                <c:pt idx="872">
                  <c:v>515.22511340180665</c:v>
                </c:pt>
                <c:pt idx="873">
                  <c:v>515.22511340180665</c:v>
                </c:pt>
                <c:pt idx="874">
                  <c:v>515.22511340180665</c:v>
                </c:pt>
                <c:pt idx="875">
                  <c:v>515.22511340180665</c:v>
                </c:pt>
                <c:pt idx="876">
                  <c:v>515.22511340180665</c:v>
                </c:pt>
                <c:pt idx="877">
                  <c:v>515.22511340180665</c:v>
                </c:pt>
                <c:pt idx="878">
                  <c:v>515.22511340180665</c:v>
                </c:pt>
                <c:pt idx="879">
                  <c:v>515.22511340180665</c:v>
                </c:pt>
                <c:pt idx="880">
                  <c:v>515.22511340180665</c:v>
                </c:pt>
                <c:pt idx="881">
                  <c:v>515.22511340180665</c:v>
                </c:pt>
                <c:pt idx="882">
                  <c:v>515.22511340180665</c:v>
                </c:pt>
                <c:pt idx="883">
                  <c:v>515.22511340180665</c:v>
                </c:pt>
                <c:pt idx="884">
                  <c:v>515.22511340180665</c:v>
                </c:pt>
                <c:pt idx="885">
                  <c:v>515.22511340180665</c:v>
                </c:pt>
                <c:pt idx="886">
                  <c:v>515.22511340180665</c:v>
                </c:pt>
                <c:pt idx="887">
                  <c:v>515.22511340180665</c:v>
                </c:pt>
                <c:pt idx="888">
                  <c:v>515.22511340180665</c:v>
                </c:pt>
                <c:pt idx="889">
                  <c:v>515.22511340180665</c:v>
                </c:pt>
                <c:pt idx="890">
                  <c:v>515.22511340180665</c:v>
                </c:pt>
                <c:pt idx="891">
                  <c:v>515.22511340180665</c:v>
                </c:pt>
                <c:pt idx="892">
                  <c:v>515.22511340180665</c:v>
                </c:pt>
                <c:pt idx="893">
                  <c:v>515.22511340180665</c:v>
                </c:pt>
                <c:pt idx="894">
                  <c:v>515.22511340180665</c:v>
                </c:pt>
                <c:pt idx="895">
                  <c:v>515.22511340180665</c:v>
                </c:pt>
                <c:pt idx="896">
                  <c:v>515.22511340180665</c:v>
                </c:pt>
                <c:pt idx="897">
                  <c:v>515.22511340180665</c:v>
                </c:pt>
                <c:pt idx="898">
                  <c:v>515.22511340180665</c:v>
                </c:pt>
                <c:pt idx="899">
                  <c:v>515.22511340180665</c:v>
                </c:pt>
                <c:pt idx="900">
                  <c:v>515.22511340180665</c:v>
                </c:pt>
                <c:pt idx="901">
                  <c:v>515.22511340180665</c:v>
                </c:pt>
                <c:pt idx="902">
                  <c:v>515.22511340180665</c:v>
                </c:pt>
                <c:pt idx="903">
                  <c:v>515.22511340180665</c:v>
                </c:pt>
                <c:pt idx="904">
                  <c:v>515.22511340180665</c:v>
                </c:pt>
                <c:pt idx="905">
                  <c:v>515.22511340180665</c:v>
                </c:pt>
                <c:pt idx="906">
                  <c:v>515.22511340180665</c:v>
                </c:pt>
                <c:pt idx="907">
                  <c:v>515.22511340180665</c:v>
                </c:pt>
                <c:pt idx="908">
                  <c:v>515.22511340180665</c:v>
                </c:pt>
                <c:pt idx="909">
                  <c:v>515.22511340180665</c:v>
                </c:pt>
                <c:pt idx="910">
                  <c:v>515.22511340180665</c:v>
                </c:pt>
                <c:pt idx="911">
                  <c:v>515.22511340180665</c:v>
                </c:pt>
                <c:pt idx="912">
                  <c:v>515.22511340180665</c:v>
                </c:pt>
                <c:pt idx="913">
                  <c:v>515.22511340180665</c:v>
                </c:pt>
                <c:pt idx="914">
                  <c:v>515.22511340180665</c:v>
                </c:pt>
                <c:pt idx="915">
                  <c:v>515.22511340180665</c:v>
                </c:pt>
                <c:pt idx="916">
                  <c:v>515.22511340180665</c:v>
                </c:pt>
                <c:pt idx="917">
                  <c:v>515.22511340180665</c:v>
                </c:pt>
                <c:pt idx="918">
                  <c:v>515.22511340180665</c:v>
                </c:pt>
                <c:pt idx="919">
                  <c:v>515.22511340180665</c:v>
                </c:pt>
                <c:pt idx="920">
                  <c:v>515.22511340180665</c:v>
                </c:pt>
                <c:pt idx="921">
                  <c:v>515.22511340180665</c:v>
                </c:pt>
                <c:pt idx="922">
                  <c:v>515.22511340180665</c:v>
                </c:pt>
                <c:pt idx="923">
                  <c:v>515.22511340180665</c:v>
                </c:pt>
                <c:pt idx="924">
                  <c:v>515.22511340180665</c:v>
                </c:pt>
                <c:pt idx="925">
                  <c:v>515.22511340180665</c:v>
                </c:pt>
                <c:pt idx="926">
                  <c:v>515.22511340180665</c:v>
                </c:pt>
                <c:pt idx="927">
                  <c:v>515.22511340180665</c:v>
                </c:pt>
                <c:pt idx="928">
                  <c:v>515.22511340180665</c:v>
                </c:pt>
                <c:pt idx="929">
                  <c:v>515.22511340180665</c:v>
                </c:pt>
                <c:pt idx="930">
                  <c:v>515.22511340180665</c:v>
                </c:pt>
                <c:pt idx="931">
                  <c:v>515.22511340180665</c:v>
                </c:pt>
                <c:pt idx="932">
                  <c:v>515.22511340180665</c:v>
                </c:pt>
                <c:pt idx="933">
                  <c:v>515.22511340180665</c:v>
                </c:pt>
                <c:pt idx="934">
                  <c:v>515.22511340180665</c:v>
                </c:pt>
                <c:pt idx="935">
                  <c:v>515.22511340180665</c:v>
                </c:pt>
                <c:pt idx="936">
                  <c:v>515.22511340180665</c:v>
                </c:pt>
                <c:pt idx="937">
                  <c:v>515.22511340180665</c:v>
                </c:pt>
                <c:pt idx="938">
                  <c:v>515.22511340180665</c:v>
                </c:pt>
                <c:pt idx="939">
                  <c:v>515.22511340180665</c:v>
                </c:pt>
                <c:pt idx="940">
                  <c:v>515.22511340180665</c:v>
                </c:pt>
                <c:pt idx="941">
                  <c:v>515.22511340180665</c:v>
                </c:pt>
                <c:pt idx="942">
                  <c:v>515.22511340180665</c:v>
                </c:pt>
                <c:pt idx="943">
                  <c:v>515.22511340180665</c:v>
                </c:pt>
                <c:pt idx="944">
                  <c:v>515.22511340180665</c:v>
                </c:pt>
                <c:pt idx="945">
                  <c:v>515.22511340180665</c:v>
                </c:pt>
                <c:pt idx="946">
                  <c:v>515.22511340180665</c:v>
                </c:pt>
                <c:pt idx="947">
                  <c:v>515.22511340180665</c:v>
                </c:pt>
                <c:pt idx="948">
                  <c:v>515.22511340180665</c:v>
                </c:pt>
                <c:pt idx="949">
                  <c:v>515.22511340180665</c:v>
                </c:pt>
                <c:pt idx="950">
                  <c:v>515.22511340180665</c:v>
                </c:pt>
                <c:pt idx="951">
                  <c:v>515.22511340180665</c:v>
                </c:pt>
                <c:pt idx="952">
                  <c:v>515.22511340180665</c:v>
                </c:pt>
                <c:pt idx="953">
                  <c:v>515.22511340180665</c:v>
                </c:pt>
                <c:pt idx="954">
                  <c:v>515.22511340180665</c:v>
                </c:pt>
                <c:pt idx="955">
                  <c:v>515.22511340180665</c:v>
                </c:pt>
                <c:pt idx="956">
                  <c:v>515.22511340180665</c:v>
                </c:pt>
                <c:pt idx="957">
                  <c:v>515.22511340180665</c:v>
                </c:pt>
                <c:pt idx="958">
                  <c:v>515.22511340180665</c:v>
                </c:pt>
                <c:pt idx="959">
                  <c:v>515.22511340180665</c:v>
                </c:pt>
                <c:pt idx="960">
                  <c:v>515.22511340180665</c:v>
                </c:pt>
                <c:pt idx="961">
                  <c:v>515.22511340180665</c:v>
                </c:pt>
                <c:pt idx="962">
                  <c:v>515.22511340180665</c:v>
                </c:pt>
                <c:pt idx="963">
                  <c:v>515.22511340180665</c:v>
                </c:pt>
                <c:pt idx="964">
                  <c:v>515.22511340180665</c:v>
                </c:pt>
                <c:pt idx="965">
                  <c:v>515.22511340180665</c:v>
                </c:pt>
                <c:pt idx="966">
                  <c:v>515.22511340180665</c:v>
                </c:pt>
                <c:pt idx="967">
                  <c:v>515.22511340180665</c:v>
                </c:pt>
                <c:pt idx="968">
                  <c:v>515.22511340180665</c:v>
                </c:pt>
                <c:pt idx="969">
                  <c:v>515.22511340180665</c:v>
                </c:pt>
                <c:pt idx="970">
                  <c:v>515.22511340180665</c:v>
                </c:pt>
                <c:pt idx="971">
                  <c:v>515.22511340180665</c:v>
                </c:pt>
                <c:pt idx="972">
                  <c:v>515.22511340180665</c:v>
                </c:pt>
                <c:pt idx="973">
                  <c:v>515.22511340180665</c:v>
                </c:pt>
                <c:pt idx="974">
                  <c:v>515.22511340180665</c:v>
                </c:pt>
                <c:pt idx="975">
                  <c:v>515.22511340180665</c:v>
                </c:pt>
                <c:pt idx="976">
                  <c:v>515.22511340180665</c:v>
                </c:pt>
                <c:pt idx="977">
                  <c:v>515.22511340180665</c:v>
                </c:pt>
                <c:pt idx="978">
                  <c:v>515.22511340180665</c:v>
                </c:pt>
                <c:pt idx="979">
                  <c:v>515.22511340180665</c:v>
                </c:pt>
                <c:pt idx="980">
                  <c:v>515.22511340180665</c:v>
                </c:pt>
                <c:pt idx="981">
                  <c:v>515.22511340180665</c:v>
                </c:pt>
                <c:pt idx="982">
                  <c:v>515.22511340180665</c:v>
                </c:pt>
                <c:pt idx="983">
                  <c:v>515.22511340180665</c:v>
                </c:pt>
                <c:pt idx="984">
                  <c:v>515.22511340180665</c:v>
                </c:pt>
                <c:pt idx="985">
                  <c:v>515.22511340180665</c:v>
                </c:pt>
                <c:pt idx="986">
                  <c:v>515.22511340180665</c:v>
                </c:pt>
                <c:pt idx="987">
                  <c:v>515.22511340180665</c:v>
                </c:pt>
                <c:pt idx="988">
                  <c:v>515.22511340180665</c:v>
                </c:pt>
                <c:pt idx="989">
                  <c:v>515.22511340180665</c:v>
                </c:pt>
                <c:pt idx="990">
                  <c:v>515.22511340180665</c:v>
                </c:pt>
                <c:pt idx="991">
                  <c:v>515.22511340180665</c:v>
                </c:pt>
                <c:pt idx="992">
                  <c:v>515.22511340180665</c:v>
                </c:pt>
                <c:pt idx="993">
                  <c:v>515.22511340180665</c:v>
                </c:pt>
                <c:pt idx="994">
                  <c:v>515.22511340180665</c:v>
                </c:pt>
                <c:pt idx="995">
                  <c:v>515.22511340180665</c:v>
                </c:pt>
                <c:pt idx="996">
                  <c:v>515.22511340180665</c:v>
                </c:pt>
                <c:pt idx="997">
                  <c:v>515.22511340180665</c:v>
                </c:pt>
                <c:pt idx="998">
                  <c:v>515.22511340180665</c:v>
                </c:pt>
                <c:pt idx="999">
                  <c:v>515.22511340180665</c:v>
                </c:pt>
                <c:pt idx="1000">
                  <c:v>515.22511340180665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3.562696885685801E-5</c:v>
                </c:pt>
                <c:pt idx="2">
                  <c:v>1.1875575187218533E-3</c:v>
                </c:pt>
                <c:pt idx="3">
                  <c:v>5.5464952848076647E-3</c:v>
                </c:pt>
                <c:pt idx="4">
                  <c:v>1.5204678378389128E-2</c:v>
                </c:pt>
                <c:pt idx="5">
                  <c:v>3.2256526919684975E-2</c:v>
                </c:pt>
                <c:pt idx="6">
                  <c:v>5.8269452385194841E-2</c:v>
                </c:pt>
                <c:pt idx="7">
                  <c:v>9.3753305161804801E-2</c:v>
                </c:pt>
                <c:pt idx="8">
                  <c:v>0.13868858422863994</c:v>
                </c:pt>
                <c:pt idx="9">
                  <c:v>0.19305568704877241</c:v>
                </c:pt>
                <c:pt idx="10">
                  <c:v>0.25683490991255581</c:v>
                </c:pt>
                <c:pt idx="11">
                  <c:v>0.33000644828484993</c:v>
                </c:pt>
                <c:pt idx="12">
                  <c:v>0.41255039715610847</c:v>
                </c:pt>
                <c:pt idx="13">
                  <c:v>0.50444675139730177</c:v>
                </c:pt>
                <c:pt idx="14">
                  <c:v>0.60567540611864645</c:v>
                </c:pt>
                <c:pt idx="15">
                  <c:v>0.71621615703211317</c:v>
                </c:pt>
                <c:pt idx="16">
                  <c:v>0.83604870081768412</c:v>
                </c:pt>
                <c:pt idx="17">
                  <c:v>0.96515263549333041</c:v>
                </c:pt>
                <c:pt idx="18">
                  <c:v>1.1035074607886803</c:v>
                </c:pt>
                <c:pt idx="19">
                  <c:v>1.2510925785223481</c:v>
                </c:pt>
                <c:pt idx="20">
                  <c:v>1.4078872929828936</c:v>
                </c:pt>
                <c:pt idx="21">
                  <c:v>1.5738708113133821</c:v>
                </c:pt>
                <c:pt idx="22">
                  <c:v>1.7490222438995127</c:v>
                </c:pt>
                <c:pt idx="23">
                  <c:v>1.9333206047612856</c:v>
                </c:pt>
                <c:pt idx="24">
                  <c:v>2.1267448119481767</c:v>
                </c:pt>
                <c:pt idx="25">
                  <c:v>2.3292736879377847</c:v>
                </c:pt>
                <c:pt idx="26">
                  <c:v>2.540885960037925</c:v>
                </c:pt>
                <c:pt idx="27">
                  <c:v>2.7615602607921304</c:v>
                </c:pt>
                <c:pt idx="28">
                  <c:v>2.9912751283885326</c:v>
                </c:pt>
                <c:pt idx="29">
                  <c:v>3.230009007072089</c:v>
                </c:pt>
                <c:pt idx="30">
                  <c:v>3.4777402475601189</c:v>
                </c:pt>
                <c:pt idx="31">
                  <c:v>3.7344471074611216</c:v>
                </c:pt>
                <c:pt idx="32">
                  <c:v>4.000107751696838</c:v>
                </c:pt>
                <c:pt idx="33">
                  <c:v>4.274696525166461</c:v>
                </c:pt>
                <c:pt idx="34">
                  <c:v>4.5581875509029022</c:v>
                </c:pt>
                <c:pt idx="35">
                  <c:v>4.8505584600409337</c:v>
                </c:pt>
                <c:pt idx="36">
                  <c:v>5.1517867981019645</c:v>
                </c:pt>
                <c:pt idx="37">
                  <c:v>5.4618500270532619</c:v>
                </c:pt>
                <c:pt idx="38">
                  <c:v>5.7807255254015475</c:v>
                </c:pt>
                <c:pt idx="39">
                  <c:v>6.108390588317401</c:v>
                </c:pt>
                <c:pt idx="40">
                  <c:v>6.4448224277874928</c:v>
                </c:pt>
                <c:pt idx="41">
                  <c:v>6.78999817279204</c:v>
                </c:pt>
                <c:pt idx="42">
                  <c:v>7.1438948695052158</c:v>
                </c:pt>
                <c:pt idx="43">
                  <c:v>7.5064894815165157</c:v>
                </c:pt>
                <c:pt idx="44">
                  <c:v>7.8777588900713127</c:v>
                </c:pt>
                <c:pt idx="45">
                  <c:v>8.2576798943290477</c:v>
                </c:pt>
                <c:pt idx="46">
                  <c:v>8.6462292116376762</c:v>
                </c:pt>
                <c:pt idx="47">
                  <c:v>9.0433834778231219</c:v>
                </c:pt>
                <c:pt idx="48">
                  <c:v>9.4491192474926535</c:v>
                </c:pt>
                <c:pt idx="49">
                  <c:v>9.8634129943511848</c:v>
                </c:pt>
                <c:pt idx="50">
                  <c:v>10.286241111529611</c:v>
                </c:pt>
                <c:pt idx="51">
                  <c:v>10.717582703030709</c:v>
                </c:pt>
                <c:pt idx="52">
                  <c:v>11.157422379425888</c:v>
                </c:pt>
                <c:pt idx="53">
                  <c:v>11.605747472928835</c:v>
                </c:pt>
                <c:pt idx="54">
                  <c:v>12.062545248107767</c:v>
                </c:pt>
                <c:pt idx="55">
                  <c:v>12.5278029020023</c:v>
                </c:pt>
                <c:pt idx="56">
                  <c:v>13.001507564247742</c:v>
                </c:pt>
                <c:pt idx="57">
                  <c:v>13.483646297206469</c:v>
                </c:pt>
                <c:pt idx="58">
                  <c:v>13.974206096106016</c:v>
                </c:pt>
                <c:pt idx="59">
                  <c:v>14.473173889183581</c:v>
                </c:pt>
                <c:pt idx="60">
                  <c:v>14.980536537836667</c:v>
                </c:pt>
                <c:pt idx="61">
                  <c:v>15.496280836779572</c:v>
                </c:pt>
                <c:pt idx="62">
                  <c:v>16.020393514205502</c:v>
                </c:pt>
                <c:pt idx="63">
                  <c:v>16.552861231954065</c:v>
                </c:pt>
                <c:pt idx="64">
                  <c:v>17.093670585683952</c:v>
                </c:pt>
                <c:pt idx="65">
                  <c:v>17.642808105050591</c:v>
                </c:pt>
                <c:pt idx="66">
                  <c:v>18.200260253888597</c:v>
                </c:pt>
                <c:pt idx="67">
                  <c:v>18.766013430398861</c:v>
                </c:pt>
                <c:pt idx="68">
                  <c:v>19.340053967340097</c:v>
                </c:pt>
                <c:pt idx="69">
                  <c:v>19.922368132224715</c:v>
                </c:pt>
                <c:pt idx="70">
                  <c:v>20.51294212751888</c:v>
                </c:pt>
                <c:pt idx="71">
                  <c:v>21.111762090846604</c:v>
                </c:pt>
                <c:pt idx="72">
                  <c:v>21.718814095197782</c:v>
                </c:pt>
                <c:pt idx="73">
                  <c:v>22.334084149140036</c:v>
                </c:pt>
                <c:pt idx="74">
                  <c:v>22.957558197034245</c:v>
                </c:pt>
                <c:pt idx="75">
                  <c:v>23.589222119253687</c:v>
                </c:pt>
                <c:pt idx="76">
                  <c:v>24.229061732406674</c:v>
                </c:pt>
                <c:pt idx="77">
                  <c:v>24.877062789562594</c:v>
                </c:pt>
                <c:pt idx="78">
                  <c:v>25.533210980481272</c:v>
                </c:pt>
                <c:pt idx="79">
                  <c:v>26.197491931845555</c:v>
                </c:pt>
                <c:pt idx="80">
                  <c:v>26.869891207497066</c:v>
                </c:pt>
                <c:pt idx="81">
                  <c:v>27.55039430867502</c:v>
                </c:pt>
                <c:pt idx="82">
                  <c:v>28.238986674258054</c:v>
                </c:pt>
                <c:pt idx="83">
                  <c:v>28.93565368100899</c:v>
                </c:pt>
                <c:pt idx="84">
                  <c:v>29.640380643822454</c:v>
                </c:pt>
                <c:pt idx="85">
                  <c:v>30.35315281597531</c:v>
                </c:pt>
                <c:pt idx="86">
                  <c:v>31.073955389379837</c:v>
                </c:pt>
                <c:pt idx="87">
                  <c:v>31.802773494839574</c:v>
                </c:pt>
                <c:pt idx="88">
                  <c:v>32.539592202307801</c:v>
                </c:pt>
                <c:pt idx="89">
                  <c:v>33.284396521148587</c:v>
                </c:pt>
                <c:pt idx="90">
                  <c:v>34.037171400400354</c:v>
                </c:pt>
                <c:pt idx="91">
                  <c:v>34.797901729041897</c:v>
                </c:pt>
                <c:pt idx="92">
                  <c:v>35.566572336260847</c:v>
                </c:pt>
                <c:pt idx="93">
                  <c:v>36.343167991724457</c:v>
                </c:pt>
                <c:pt idx="94">
                  <c:v>37.12767340585274</c:v>
                </c:pt>
                <c:pt idx="95">
                  <c:v>37.92007323009387</c:v>
                </c:pt>
                <c:pt idx="96">
                  <c:v>38.720352057201815</c:v>
                </c:pt>
                <c:pt idx="97">
                  <c:v>39.528494421516164</c:v>
                </c:pt>
                <c:pt idx="98">
                  <c:v>40.344484799244064</c:v>
                </c:pt>
                <c:pt idx="99">
                  <c:v>41.168307608744314</c:v>
                </c:pt>
                <c:pt idx="100">
                  <c:v>41.999947210813467</c:v>
                </c:pt>
                <c:pt idx="101">
                  <c:v>42.839386621090078</c:v>
                </c:pt>
                <c:pt idx="102">
                  <c:v>43.686606221046318</c:v>
                </c:pt>
                <c:pt idx="103">
                  <c:v>44.541585044517475</c:v>
                </c:pt>
                <c:pt idx="104">
                  <c:v>45.404302065707192</c:v>
                </c:pt>
                <c:pt idx="105">
                  <c:v>46.274736199601875</c:v>
                </c:pt>
                <c:pt idx="106">
                  <c:v>47.152866302386762</c:v>
                </c:pt>
                <c:pt idx="107">
                  <c:v>48.038671171863662</c:v>
                </c:pt>
                <c:pt idx="108">
                  <c:v>48.932129547870304</c:v>
                </c:pt>
                <c:pt idx="109">
                  <c:v>49.833220112701213</c:v>
                </c:pt>
                <c:pt idx="110">
                  <c:v>50.741921491530142</c:v>
                </c:pt>
                <c:pt idx="111">
                  <c:v>51.658212252833941</c:v>
                </c:pt>
                <c:pt idx="112">
                  <c:v>52.582070908817876</c:v>
                </c:pt>
                <c:pt idx="113">
                  <c:v>53.513475915842321</c:v>
                </c:pt>
                <c:pt idx="114">
                  <c:v>54.452405674850795</c:v>
                </c:pt>
                <c:pt idx="115">
                  <c:v>55.398838531799292</c:v>
                </c:pt>
                <c:pt idx="116">
                  <c:v>56.352752778086909</c:v>
                </c:pt>
                <c:pt idx="117">
                  <c:v>57.314126650987625</c:v>
                </c:pt>
                <c:pt idx="118">
                  <c:v>58.282938334083319</c:v>
                </c:pt>
                <c:pt idx="119">
                  <c:v>59.259165957697896</c:v>
                </c:pt>
                <c:pt idx="120">
                  <c:v>60.24278759933253</c:v>
                </c:pt>
                <c:pt idx="121">
                  <c:v>61.233781284101966</c:v>
                </c:pt>
                <c:pt idx="122">
                  <c:v>62.232124985171808</c:v>
                </c:pt>
                <c:pt idx="123">
                  <c:v>63.237796624196861</c:v>
                </c:pt>
                <c:pt idx="124">
                  <c:v>64.250774071760361</c:v>
                </c:pt>
                <c:pt idx="125">
                  <c:v>65.271035147814132</c:v>
                </c:pt>
                <c:pt idx="126">
                  <c:v>66.298557622119631</c:v>
                </c:pt>
                <c:pt idx="127">
                  <c:v>67.333319214689794</c:v>
                </c:pt>
                <c:pt idx="128">
                  <c:v>68.375297596231746</c:v>
                </c:pt>
                <c:pt idx="129">
                  <c:v>69.42447038859018</c:v>
                </c:pt>
                <c:pt idx="130">
                  <c:v>70.48081516519153</c:v>
                </c:pt>
                <c:pt idx="131">
                  <c:v>71.544309451488857</c:v>
                </c:pt>
                <c:pt idx="132">
                  <c:v>72.614930725407319</c:v>
                </c:pt>
                <c:pt idx="133">
                  <c:v>73.692656417790317</c:v>
                </c:pt>
                <c:pt idx="134">
                  <c:v>74.777463912846187</c:v>
                </c:pt>
                <c:pt idx="135">
                  <c:v>75.869330548595499</c:v>
                </c:pt>
                <c:pt idx="136">
                  <c:v>76.968233617318845</c:v>
                </c:pt>
                <c:pt idx="137">
                  <c:v>78.074150366005099</c:v>
                </c:pt>
                <c:pt idx="138">
                  <c:v>79.187057996800164</c:v>
                </c:pt>
                <c:pt idx="139">
                  <c:v>80.306933667456079</c:v>
                </c:pt>
                <c:pt idx="140">
                  <c:v>81.433754491780604</c:v>
                </c:pt>
                <c:pt idx="141">
                  <c:v>82.567497540087061</c:v>
                </c:pt>
                <c:pt idx="142">
                  <c:v>83.708139839644559</c:v>
                </c:pt>
                <c:pt idx="143">
                  <c:v>84.855658375128485</c:v>
                </c:pt>
                <c:pt idx="144">
                  <c:v>86.010030089071236</c:v>
                </c:pt>
                <c:pt idx="145">
                  <c:v>87.171231882313208</c:v>
                </c:pt>
                <c:pt idx="146">
                  <c:v>88.339240614453956</c:v>
                </c:pt>
                <c:pt idx="147">
                  <c:v>89.514033104303522</c:v>
                </c:pt>
                <c:pt idx="148">
                  <c:v>90.695586130333879</c:v>
                </c:pt>
                <c:pt idx="149">
                  <c:v>91.883876431130489</c:v>
                </c:pt>
                <c:pt idx="150">
                  <c:v>93.078880705843929</c:v>
                </c:pt>
                <c:pt idx="151">
                  <c:v>94.280576053152885</c:v>
                </c:pt>
                <c:pt idx="152">
                  <c:v>95.488940410499865</c:v>
                </c:pt>
                <c:pt idx="153">
                  <c:v>96.703952116208185</c:v>
                </c:pt>
                <c:pt idx="154">
                  <c:v>97.925589471307063</c:v>
                </c:pt>
                <c:pt idx="155">
                  <c:v>99.153830739944809</c:v>
                </c:pt>
                <c:pt idx="156">
                  <c:v>100.38865414980206</c:v>
                </c:pt>
                <c:pt idx="157">
                  <c:v>101.63003789250509</c:v>
                </c:pt>
                <c:pt idx="158">
                  <c:v>102.87796012403895</c:v>
                </c:pt>
                <c:pt idx="159">
                  <c:v>104.13239896516082</c:v>
                </c:pt>
                <c:pt idx="160">
                  <c:v>105.39333250181311</c:v>
                </c:pt>
                <c:pt idx="161">
                  <c:v>106.66073878553654</c:v>
                </c:pt>
                <c:pt idx="162">
                  <c:v>107.93459583388315</c:v>
                </c:pt>
                <c:pt idx="163">
                  <c:v>109.21488163082908</c:v>
                </c:pt>
                <c:pt idx="164">
                  <c:v>110.50157412718731</c:v>
                </c:pt>
                <c:pt idx="165">
                  <c:v>111.79465124102009</c:v>
                </c:pt>
                <c:pt idx="166">
                  <c:v>113.09409085805129</c:v>
                </c:pt>
                <c:pt idx="167">
                  <c:v>114.39987083207838</c:v>
                </c:pt>
                <c:pt idx="168">
                  <c:v>115.71196898538427</c:v>
                </c:pt>
                <c:pt idx="169">
                  <c:v>117.03036310914881</c:v>
                </c:pt>
                <c:pt idx="170">
                  <c:v>118.35503096385993</c:v>
                </c:pt>
                <c:pt idx="171">
                  <c:v>119.68595027972458</c:v>
                </c:pt>
                <c:pt idx="172">
                  <c:v>121.02309875707918</c:v>
                </c:pt>
                <c:pt idx="173">
                  <c:v>122.36645406679979</c:v>
                </c:pt>
                <c:pt idx="174">
                  <c:v>123.71599385071181</c:v>
                </c:pt>
                <c:pt idx="175">
                  <c:v>125.07169572199929</c:v>
                </c:pt>
                <c:pt idx="176">
                  <c:v>126.43353726561378</c:v>
                </c:pt>
                <c:pt idx="177">
                  <c:v>127.80149603868269</c:v>
                </c:pt>
                <c:pt idx="178">
                  <c:v>129.17554957091718</c:v>
                </c:pt>
                <c:pt idx="179">
                  <c:v>130.55567536501954</c:v>
                </c:pt>
                <c:pt idx="180">
                  <c:v>131.94185089709001</c:v>
                </c:pt>
                <c:pt idx="181">
                  <c:v>133.33405361703299</c:v>
                </c:pt>
                <c:pt idx="182">
                  <c:v>134.73226094896279</c:v>
                </c:pt>
                <c:pt idx="183">
                  <c:v>136.13645029160861</c:v>
                </c:pt>
                <c:pt idx="184">
                  <c:v>137.54659901871912</c:v>
                </c:pt>
                <c:pt idx="185">
                  <c:v>138.96268447946608</c:v>
                </c:pt>
                <c:pt idx="186">
                  <c:v>140.38468399884755</c:v>
                </c:pt>
                <c:pt idx="187">
                  <c:v>141.81257487809032</c:v>
                </c:pt>
                <c:pt idx="188">
                  <c:v>143.24633439505158</c:v>
                </c:pt>
                <c:pt idx="189">
                  <c:v>144.68593980461992</c:v>
                </c:pt>
                <c:pt idx="190">
                  <c:v>146.13136833911557</c:v>
                </c:pt>
                <c:pt idx="191">
                  <c:v>147.5825972086898</c:v>
                </c:pt>
                <c:pt idx="192">
                  <c:v>149.03960360172363</c:v>
                </c:pt>
                <c:pt idx="193">
                  <c:v>150.50236468522559</c:v>
                </c:pt>
                <c:pt idx="194">
                  <c:v>151.97085760522876</c:v>
                </c:pt>
                <c:pt idx="195">
                  <c:v>153.44505948718688</c:v>
                </c:pt>
                <c:pt idx="196">
                  <c:v>154.92494743636971</c:v>
                </c:pt>
                <c:pt idx="197">
                  <c:v>156.41049853825726</c:v>
                </c:pt>
                <c:pt idx="198">
                  <c:v>157.90168985893337</c:v>
                </c:pt>
                <c:pt idx="199">
                  <c:v>159.39849844547814</c:v>
                </c:pt>
                <c:pt idx="200">
                  <c:v>160.90090132635962</c:v>
                </c:pt>
                <c:pt idx="201">
                  <c:v>162.40887551182428</c:v>
                </c:pt>
                <c:pt idx="202">
                  <c:v>163.92239799428671</c:v>
                </c:pt>
                <c:pt idx="203">
                  <c:v>165.44144574871822</c:v>
                </c:pt>
                <c:pt idx="204">
                  <c:v>166.96599573303442</c:v>
                </c:pt>
                <c:pt idx="205">
                  <c:v>168.49602488848168</c:v>
                </c:pt>
                <c:pt idx="206">
                  <c:v>170.03151014002279</c:v>
                </c:pt>
                <c:pt idx="207">
                  <c:v>171.57242839672116</c:v>
                </c:pt>
                <c:pt idx="208">
                  <c:v>173.1187565521243</c:v>
                </c:pt>
                <c:pt idx="209">
                  <c:v>174.67047148464587</c:v>
                </c:pt>
                <c:pt idx="210">
                  <c:v>176.2275500579469</c:v>
                </c:pt>
                <c:pt idx="211">
                  <c:v>177.78996912131555</c:v>
                </c:pt>
                <c:pt idx="212">
                  <c:v>179.35770551004597</c:v>
                </c:pt>
                <c:pt idx="213">
                  <c:v>180.93073604581591</c:v>
                </c:pt>
                <c:pt idx="214">
                  <c:v>182.50903753706299</c:v>
                </c:pt>
                <c:pt idx="215">
                  <c:v>184.09258677935998</c:v>
                </c:pt>
                <c:pt idx="216">
                  <c:v>185.68136055578867</c:v>
                </c:pt>
                <c:pt idx="217">
                  <c:v>187.27533563731268</c:v>
                </c:pt>
                <c:pt idx="218">
                  <c:v>188.87448878314879</c:v>
                </c:pt>
                <c:pt idx="219">
                  <c:v>190.47879674113722</c:v>
                </c:pt>
                <c:pt idx="220">
                  <c:v>192.08823624811043</c:v>
                </c:pt>
                <c:pt idx="221">
                  <c:v>193.70278403026083</c:v>
                </c:pt>
                <c:pt idx="222">
                  <c:v>195.32241680350691</c:v>
                </c:pt>
                <c:pt idx="223">
                  <c:v>196.9471112738583</c:v>
                </c:pt>
                <c:pt idx="224">
                  <c:v>198.57684413777926</c:v>
                </c:pt>
                <c:pt idx="225">
                  <c:v>200.21159208255105</c:v>
                </c:pt>
                <c:pt idx="226">
                  <c:v>201.85133178663267</c:v>
                </c:pt>
                <c:pt idx="227">
                  <c:v>203.49603992002042</c:v>
                </c:pt>
                <c:pt idx="228">
                  <c:v>205.1456931446059</c:v>
                </c:pt>
                <c:pt idx="229">
                  <c:v>206.80026811453277</c:v>
                </c:pt>
                <c:pt idx="230">
                  <c:v>208.4597414765519</c:v>
                </c:pt>
                <c:pt idx="231">
                  <c:v>210.12408987037523</c:v>
                </c:pt>
                <c:pt idx="232">
                  <c:v>211.79328992902808</c:v>
                </c:pt>
                <c:pt idx="233">
                  <c:v>213.46731827920007</c:v>
                </c:pt>
                <c:pt idx="234">
                  <c:v>215.14615154159446</c:v>
                </c:pt>
                <c:pt idx="235">
                  <c:v>216.82976633127618</c:v>
                </c:pt>
                <c:pt idx="236">
                  <c:v>218.51813925801812</c:v>
                </c:pt>
                <c:pt idx="237">
                  <c:v>220.21124692664611</c:v>
                </c:pt>
                <c:pt idx="238">
                  <c:v>221.90906593738234</c:v>
                </c:pt>
                <c:pt idx="239">
                  <c:v>223.61157288618708</c:v>
                </c:pt>
                <c:pt idx="240">
                  <c:v>225.31874436509912</c:v>
                </c:pt>
                <c:pt idx="241">
                  <c:v>227.03055696257442</c:v>
                </c:pt>
                <c:pt idx="242">
                  <c:v>228.74698726382334</c:v>
                </c:pt>
                <c:pt idx="243">
                  <c:v>230.46801185114617</c:v>
                </c:pt>
                <c:pt idx="244">
                  <c:v>232.19360730426726</c:v>
                </c:pt>
                <c:pt idx="245">
                  <c:v>233.92375020066734</c:v>
                </c:pt>
                <c:pt idx="246">
                  <c:v>235.65841711591429</c:v>
                </c:pt>
                <c:pt idx="247">
                  <c:v>237.39758462399246</c:v>
                </c:pt>
                <c:pt idx="248">
                  <c:v>239.14122929763008</c:v>
                </c:pt>
                <c:pt idx="249">
                  <c:v>240.88932770862525</c:v>
                </c:pt>
                <c:pt idx="250">
                  <c:v>242.64185642817023</c:v>
                </c:pt>
                <c:pt idx="251">
                  <c:v>244.39879013416561</c:v>
                </c:pt>
                <c:pt idx="252">
                  <c:v>246.1600997189361</c:v>
                </c:pt>
                <c:pt idx="253">
                  <c:v>247.92575418464855</c:v>
                </c:pt>
                <c:pt idx="254">
                  <c:v>249.69572253839024</c:v>
                </c:pt>
                <c:pt idx="255">
                  <c:v>251.4699737926141</c:v>
                </c:pt>
                <c:pt idx="256">
                  <c:v>253.24847696558112</c:v>
                </c:pt>
                <c:pt idx="257">
                  <c:v>255.03120108179979</c:v>
                </c:pt>
                <c:pt idx="258">
                  <c:v>256.81811517246263</c:v>
                </c:pt>
                <c:pt idx="259">
                  <c:v>258.60918827587949</c:v>
                </c:pt>
                <c:pt idx="260">
                  <c:v>260.40438943790843</c:v>
                </c:pt>
                <c:pt idx="261">
                  <c:v>262.20368771238293</c:v>
                </c:pt>
                <c:pt idx="262">
                  <c:v>264.00705216153665</c:v>
                </c:pt>
                <c:pt idx="263">
                  <c:v>265.81445185642491</c:v>
                </c:pt>
                <c:pt idx="264">
                  <c:v>267.62585587734321</c:v>
                </c:pt>
                <c:pt idx="265">
                  <c:v>269.44123331424288</c:v>
                </c:pt>
                <c:pt idx="266">
                  <c:v>271.26055326714345</c:v>
                </c:pt>
                <c:pt idx="267">
                  <c:v>273.08378484654213</c:v>
                </c:pt>
                <c:pt idx="268">
                  <c:v>274.91089717382022</c:v>
                </c:pt>
                <c:pt idx="269">
                  <c:v>276.74185938164652</c:v>
                </c:pt>
                <c:pt idx="270">
                  <c:v>278.57664061437765</c:v>
                </c:pt>
                <c:pt idx="271">
                  <c:v>280.41521002845525</c:v>
                </c:pt>
                <c:pt idx="272">
                  <c:v>282.25753679280018</c:v>
                </c:pt>
                <c:pt idx="273">
                  <c:v>284.10359008920358</c:v>
                </c:pt>
                <c:pt idx="274">
                  <c:v>285.95333911271501</c:v>
                </c:pt>
                <c:pt idx="275">
                  <c:v>287.80675307202728</c:v>
                </c:pt>
                <c:pt idx="276">
                  <c:v>289.66380118985836</c:v>
                </c:pt>
                <c:pt idx="277">
                  <c:v>291.52445270333016</c:v>
                </c:pt>
                <c:pt idx="278">
                  <c:v>293.38867686434401</c:v>
                </c:pt>
                <c:pt idx="279">
                  <c:v>295.2564429399535</c:v>
                </c:pt>
                <c:pt idx="280">
                  <c:v>297.12772021273372</c:v>
                </c:pt>
                <c:pt idx="281">
                  <c:v>299.00247798114771</c:v>
                </c:pt>
                <c:pt idx="282">
                  <c:v>300.88068555990958</c:v>
                </c:pt>
                <c:pt idx="283">
                  <c:v>302.7623122803447</c:v>
                </c:pt>
                <c:pt idx="284">
                  <c:v>304.6473274907467</c:v>
                </c:pt>
                <c:pt idx="285">
                  <c:v>306.53570055673129</c:v>
                </c:pt>
                <c:pt idx="286">
                  <c:v>308.4274008615871</c:v>
                </c:pt>
                <c:pt idx="287">
                  <c:v>310.32239780662326</c:v>
                </c:pt>
                <c:pt idx="288">
                  <c:v>312.22066081151388</c:v>
                </c:pt>
                <c:pt idx="289">
                  <c:v>314.12215931463948</c:v>
                </c:pt>
                <c:pt idx="290">
                  <c:v>316.02686277342514</c:v>
                </c:pt>
                <c:pt idx="291">
                  <c:v>317.93474066467581</c:v>
                </c:pt>
                <c:pt idx="292">
                  <c:v>319.84576248490816</c:v>
                </c:pt>
                <c:pt idx="293">
                  <c:v>321.7598977506795</c:v>
                </c:pt>
                <c:pt idx="294">
                  <c:v>323.67711599891351</c:v>
                </c:pt>
                <c:pt idx="295">
                  <c:v>325.59738678722289</c:v>
                </c:pt>
                <c:pt idx="296">
                  <c:v>327.52067969422876</c:v>
                </c:pt>
                <c:pt idx="297">
                  <c:v>329.44696431987722</c:v>
                </c:pt>
                <c:pt idx="298">
                  <c:v>331.3761895080861</c:v>
                </c:pt>
                <c:pt idx="299">
                  <c:v>333.30826258258429</c:v>
                </c:pt>
                <c:pt idx="300">
                  <c:v>335.24307016300037</c:v>
                </c:pt>
                <c:pt idx="301">
                  <c:v>337.1804989688448</c:v>
                </c:pt>
                <c:pt idx="302">
                  <c:v>339.12043582197754</c:v>
                </c:pt>
                <c:pt idx="303">
                  <c:v>341.0627676490372</c:v>
                </c:pt>
                <c:pt idx="304">
                  <c:v>343.0073814838313</c:v>
                </c:pt>
                <c:pt idx="305">
                  <c:v>344.95416446968767</c:v>
                </c:pt>
                <c:pt idx="306">
                  <c:v>346.90300386176767</c:v>
                </c:pt>
                <c:pt idx="307">
                  <c:v>348.85378702934025</c:v>
                </c:pt>
                <c:pt idx="308">
                  <c:v>350.80640145801783</c:v>
                </c:pt>
                <c:pt idx="309">
                  <c:v>352.76073475195312</c:v>
                </c:pt>
                <c:pt idx="310">
                  <c:v>354.71667463599795</c:v>
                </c:pt>
                <c:pt idx="311">
                  <c:v>356.67410895782319</c:v>
                </c:pt>
                <c:pt idx="312">
                  <c:v>358.63292569000038</c:v>
                </c:pt>
                <c:pt idx="313">
                  <c:v>360.59301293204504</c:v>
                </c:pt>
                <c:pt idx="314">
                  <c:v>362.55425891242163</c:v>
                </c:pt>
                <c:pt idx="315">
                  <c:v>364.51655199051027</c:v>
                </c:pt>
                <c:pt idx="316">
                  <c:v>366.47978065853539</c:v>
                </c:pt>
                <c:pt idx="317">
                  <c:v>368.44383354345621</c:v>
                </c:pt>
                <c:pt idx="318">
                  <c:v>370.40859940881944</c:v>
                </c:pt>
                <c:pt idx="319">
                  <c:v>372.37396715657383</c:v>
                </c:pt>
                <c:pt idx="320">
                  <c:v>374.33982582884727</c:v>
                </c:pt>
                <c:pt idx="321">
                  <c:v>376.30607287185467</c:v>
                </c:pt>
                <c:pt idx="322">
                  <c:v>378.27262238995047</c:v>
                </c:pt>
                <c:pt idx="323">
                  <c:v>380.23939686296978</c:v>
                </c:pt>
                <c:pt idx="324">
                  <c:v>382.20631887292132</c:v>
                </c:pt>
                <c:pt idx="325">
                  <c:v>384.17331110472998</c:v>
                </c:pt>
                <c:pt idx="326">
                  <c:v>386.14029634696135</c:v>
                </c:pt>
                <c:pt idx="327">
                  <c:v>388.10719749252803</c:v>
                </c:pt>
                <c:pt idx="328">
                  <c:v>390.07393753937794</c:v>
                </c:pt>
                <c:pt idx="329">
                  <c:v>392.04043959116484</c:v>
                </c:pt>
                <c:pt idx="330">
                  <c:v>394.00662685790115</c:v>
                </c:pt>
                <c:pt idx="331">
                  <c:v>395.9724226565927</c:v>
                </c:pt>
                <c:pt idx="332">
                  <c:v>397.93775041185631</c:v>
                </c:pt>
                <c:pt idx="333">
                  <c:v>399.90253365651938</c:v>
                </c:pt>
                <c:pt idx="334">
                  <c:v>401.86669603220236</c:v>
                </c:pt>
                <c:pt idx="335">
                  <c:v>403.83016128988368</c:v>
                </c:pt>
                <c:pt idx="336">
                  <c:v>405.79285329044751</c:v>
                </c:pt>
                <c:pt idx="337">
                  <c:v>407.75469600521433</c:v>
                </c:pt>
                <c:pt idx="338">
                  <c:v>409.71561351645437</c:v>
                </c:pt>
                <c:pt idx="339">
                  <c:v>411.67553001788417</c:v>
                </c:pt>
                <c:pt idx="340">
                  <c:v>413.63436981514604</c:v>
                </c:pt>
                <c:pt idx="341">
                  <c:v>415.59205732627117</c:v>
                </c:pt>
                <c:pt idx="342">
                  <c:v>417.54851708212544</c:v>
                </c:pt>
                <c:pt idx="343">
                  <c:v>419.50367372683928</c:v>
                </c:pt>
                <c:pt idx="344">
                  <c:v>421.45745201822058</c:v>
                </c:pt>
                <c:pt idx="345">
                  <c:v>423.40977682815139</c:v>
                </c:pt>
                <c:pt idx="346">
                  <c:v>425.36057314296841</c:v>
                </c:pt>
                <c:pt idx="347">
                  <c:v>427.30976606382723</c:v>
                </c:pt>
                <c:pt idx="348">
                  <c:v>429.25728169790193</c:v>
                </c:pt>
                <c:pt idx="349">
                  <c:v>431.20304804816152</c:v>
                </c:pt>
                <c:pt idx="350">
                  <c:v>433.1469941199469</c:v>
                </c:pt>
                <c:pt idx="351">
                  <c:v>435.08904902891459</c:v>
                </c:pt>
                <c:pt idx="352">
                  <c:v>437.02914200127179</c:v>
                </c:pt>
                <c:pt idx="353">
                  <c:v>438.96720237399734</c:v>
                </c:pt>
                <c:pt idx="354">
                  <c:v>440.90315959504875</c:v>
                </c:pt>
                <c:pt idx="355">
                  <c:v>442.83694322355575</c:v>
                </c:pt>
                <c:pt idx="356">
                  <c:v>444.76848292999966</c:v>
                </c:pt>
                <c:pt idx="357">
                  <c:v>446.69770849637956</c:v>
                </c:pt>
                <c:pt idx="358">
                  <c:v>448.62454981636472</c:v>
                </c:pt>
                <c:pt idx="359">
                  <c:v>450.54893689543383</c:v>
                </c:pt>
                <c:pt idx="360">
                  <c:v>452.47081837643316</c:v>
                </c:pt>
                <c:pt idx="361">
                  <c:v>454.39018003335008</c:v>
                </c:pt>
                <c:pt idx="362">
                  <c:v>456.30702618280026</c:v>
                </c:pt>
                <c:pt idx="363">
                  <c:v>458.22136112726434</c:v>
                </c:pt>
                <c:pt idx="364">
                  <c:v>460.13318915514901</c:v>
                </c:pt>
                <c:pt idx="365">
                  <c:v>462.04251454084726</c:v>
                </c:pt>
                <c:pt idx="366">
                  <c:v>463.94934154479887</c:v>
                </c:pt>
                <c:pt idx="367">
                  <c:v>465.8536744135501</c:v>
                </c:pt>
                <c:pt idx="368">
                  <c:v>467.7555173798134</c:v>
                </c:pt>
                <c:pt idx="369">
                  <c:v>469.65487466252665</c:v>
                </c:pt>
                <c:pt idx="370">
                  <c:v>471.55175046691193</c:v>
                </c:pt>
                <c:pt idx="371">
                  <c:v>473.44614898453426</c:v>
                </c:pt>
                <c:pt idx="372">
                  <c:v>475.33807439335988</c:v>
                </c:pt>
                <c:pt idx="373">
                  <c:v>477.2275308578142</c:v>
                </c:pt>
                <c:pt idx="374">
                  <c:v>479.11452252883942</c:v>
                </c:pt>
                <c:pt idx="375">
                  <c:v>480.99905354395185</c:v>
                </c:pt>
                <c:pt idx="376">
                  <c:v>482.88112802729916</c:v>
                </c:pt>
                <c:pt idx="377">
                  <c:v>484.76075008971679</c:v>
                </c:pt>
                <c:pt idx="378">
                  <c:v>486.63792382878466</c:v>
                </c:pt>
                <c:pt idx="379">
                  <c:v>488.51265332888318</c:v>
                </c:pt>
                <c:pt idx="380">
                  <c:v>490.38494266124894</c:v>
                </c:pt>
                <c:pt idx="381">
                  <c:v>492.2547958840305</c:v>
                </c:pt>
                <c:pt idx="382">
                  <c:v>494.12221704234344</c:v>
                </c:pt>
                <c:pt idx="383">
                  <c:v>495.98721016832525</c:v>
                </c:pt>
                <c:pt idx="384">
                  <c:v>497.84977928119014</c:v>
                </c:pt>
                <c:pt idx="385">
                  <c:v>499.70992838728318</c:v>
                </c:pt>
                <c:pt idx="386">
                  <c:v>501.56766148013463</c:v>
                </c:pt>
                <c:pt idx="387">
                  <c:v>503.42298254051337</c:v>
                </c:pt>
                <c:pt idx="388">
                  <c:v>505.27589553648062</c:v>
                </c:pt>
                <c:pt idx="389">
                  <c:v>507.12640442344309</c:v>
                </c:pt>
                <c:pt idx="390">
                  <c:v>508.9745131442059</c:v>
                </c:pt>
                <c:pt idx="391">
                  <c:v>510.82022562902512</c:v>
                </c:pt>
                <c:pt idx="392">
                  <c:v>512.66354579566018</c:v>
                </c:pt>
                <c:pt idx="393">
                  <c:v>514.50447754942616</c:v>
                </c:pt>
                <c:pt idx="394">
                  <c:v>516.34302478324514</c:v>
                </c:pt>
                <c:pt idx="395">
                  <c:v>518.1791913776982</c:v>
                </c:pt>
                <c:pt idx="396">
                  <c:v>520.01298120107629</c:v>
                </c:pt>
                <c:pt idx="397">
                  <c:v>521.84439810943161</c:v>
                </c:pt>
                <c:pt idx="398">
                  <c:v>523.67344594662791</c:v>
                </c:pt>
                <c:pt idx="399">
                  <c:v>525.50012854439126</c:v>
                </c:pt>
                <c:pt idx="400">
                  <c:v>527.32444972236021</c:v>
                </c:pt>
                <c:pt idx="401">
                  <c:v>545.43807836727581</c:v>
                </c:pt>
                <c:pt idx="402">
                  <c:v>563.31801671721007</c:v>
                </c:pt>
                <c:pt idx="403">
                  <c:v>580.96796810169803</c:v>
                </c:pt>
                <c:pt idx="404">
                  <c:v>598.39152148103028</c:v>
                </c:pt>
                <c:pt idx="405">
                  <c:v>615.59215602771917</c:v>
                </c:pt>
                <c:pt idx="406">
                  <c:v>632.57324547682322</c:v>
                </c:pt>
                <c:pt idx="407">
                  <c:v>649.33806225903595</c:v>
                </c:pt>
                <c:pt idx="408">
                  <c:v>665.88978142947497</c:v>
                </c:pt>
                <c:pt idx="409">
                  <c:v>682.2314844042121</c:v>
                </c:pt>
                <c:pt idx="410">
                  <c:v>698.36616251576254</c:v>
                </c:pt>
                <c:pt idx="411">
                  <c:v>714.29672039798982</c:v>
                </c:pt>
                <c:pt idx="412">
                  <c:v>730.02597921018184</c:v>
                </c:pt>
                <c:pt idx="413">
                  <c:v>745.55667970940715</c:v>
                </c:pt>
                <c:pt idx="414">
                  <c:v>760.89148517965725</c:v>
                </c:pt>
                <c:pt idx="415">
                  <c:v>776.0329842257313</c:v>
                </c:pt>
                <c:pt idx="416">
                  <c:v>790.98369343930221</c:v>
                </c:pt>
                <c:pt idx="417">
                  <c:v>805.74605994412923</c:v>
                </c:pt>
                <c:pt idx="418">
                  <c:v>820.32246382694041</c:v>
                </c:pt>
                <c:pt idx="419">
                  <c:v>834.71522046009909</c:v>
                </c:pt>
                <c:pt idx="420">
                  <c:v>848.92658272178778</c:v>
                </c:pt>
                <c:pt idx="421">
                  <c:v>862.95874311909051</c:v>
                </c:pt>
                <c:pt idx="422">
                  <c:v>876.81383581902401</c:v>
                </c:pt>
                <c:pt idx="423">
                  <c:v>890.49393859226484</c:v>
                </c:pt>
                <c:pt idx="424">
                  <c:v>904.00107467403234</c:v>
                </c:pt>
                <c:pt idx="425">
                  <c:v>917.33721454632359</c:v>
                </c:pt>
                <c:pt idx="426">
                  <c:v>930.50427764544861</c:v>
                </c:pt>
                <c:pt idx="427">
                  <c:v>943.50413399858189</c:v>
                </c:pt>
                <c:pt idx="428">
                  <c:v>956.33860579283362</c:v>
                </c:pt>
                <c:pt idx="429">
                  <c:v>969.00946888013937</c:v>
                </c:pt>
                <c:pt idx="430">
                  <c:v>981.51845422108147</c:v>
                </c:pt>
                <c:pt idx="431">
                  <c:v>993.86724927057753</c:v>
                </c:pt>
                <c:pt idx="432">
                  <c:v>1006.0574993082076</c:v>
                </c:pt>
                <c:pt idx="433">
                  <c:v>1018.0908087157979</c:v>
                </c:pt>
                <c:pt idx="434">
                  <c:v>1029.9687422047332</c:v>
                </c:pt>
                <c:pt idx="435">
                  <c:v>1041.6928259953349</c:v>
                </c:pt>
                <c:pt idx="436">
                  <c:v>1053.2645489505169</c:v>
                </c:pt>
                <c:pt idx="437">
                  <c:v>1064.6853636658079</c:v>
                </c:pt>
                <c:pt idx="438">
                  <c:v>1075.9566875177225</c:v>
                </c:pt>
                <c:pt idx="439">
                  <c:v>1087.0799036723531</c:v>
                </c:pt>
                <c:pt idx="440">
                  <c:v>1098.0563620559594</c:v>
                </c:pt>
                <c:pt idx="441">
                  <c:v>1108.8873802892376</c:v>
                </c:pt>
                <c:pt idx="442">
                  <c:v>1119.5742445868666</c:v>
                </c:pt>
                <c:pt idx="443">
                  <c:v>1130.1182106238407</c:v>
                </c:pt>
                <c:pt idx="444">
                  <c:v>1140.5205043700298</c:v>
                </c:pt>
                <c:pt idx="445">
                  <c:v>1150.7823228943264</c:v>
                </c:pt>
                <c:pt idx="446">
                  <c:v>1160.9048351396739</c:v>
                </c:pt>
                <c:pt idx="447">
                  <c:v>1170.8891826702093</c:v>
                </c:pt>
                <c:pt idx="448">
                  <c:v>1180.7364803916842</c:v>
                </c:pt>
                <c:pt idx="449">
                  <c:v>1190.4478172462782</c:v>
                </c:pt>
                <c:pt idx="450">
                  <c:v>1200.0242568828603</c:v>
                </c:pt>
                <c:pt idx="451">
                  <c:v>1209.4668383037028</c:v>
                </c:pt>
                <c:pt idx="452">
                  <c:v>1218.7765764886051</c:v>
                </c:pt>
                <c:pt idx="453">
                  <c:v>1227.9544629973373</c:v>
                </c:pt>
                <c:pt idx="454">
                  <c:v>1237.0014665512708</c:v>
                </c:pt>
                <c:pt idx="455">
                  <c:v>1245.9185335950233</c:v>
                </c:pt>
                <c:pt idx="456">
                  <c:v>1254.7065888389029</c:v>
                </c:pt>
                <c:pt idx="457">
                  <c:v>1263.366535782905</c:v>
                </c:pt>
                <c:pt idx="458">
                  <c:v>1271.8992572229745</c:v>
                </c:pt>
                <c:pt idx="459">
                  <c:v>1280.3056157402184</c:v>
                </c:pt>
                <c:pt idx="460">
                  <c:v>1288.586454173718</c:v>
                </c:pt>
                <c:pt idx="461">
                  <c:v>1296.7425960775645</c:v>
                </c:pt>
                <c:pt idx="462">
                  <c:v>1304.7748461627093</c:v>
                </c:pt>
                <c:pt idx="463">
                  <c:v>1312.6839907241972</c:v>
                </c:pt>
                <c:pt idx="464">
                  <c:v>1320.470798054324</c:v>
                </c:pt>
                <c:pt idx="465">
                  <c:v>1328.1360188422348</c:v>
                </c:pt>
                <c:pt idx="466">
                  <c:v>1335.6803865604588</c:v>
                </c:pt>
                <c:pt idx="467">
                  <c:v>1343.1046178388526</c:v>
                </c:pt>
                <c:pt idx="468">
                  <c:v>1350.4094128264042</c:v>
                </c:pt>
                <c:pt idx="469">
                  <c:v>1357.5954555413316</c:v>
                </c:pt>
                <c:pt idx="470">
                  <c:v>1364.6634142098881</c:v>
                </c:pt>
                <c:pt idx="471">
                  <c:v>1371.6139415942719</c:v>
                </c:pt>
                <c:pt idx="472">
                  <c:v>1378.4476753100193</c:v>
                </c:pt>
                <c:pt idx="473">
                  <c:v>1385.1652381332449</c:v>
                </c:pt>
                <c:pt idx="474">
                  <c:v>1391.7672382980757</c:v>
                </c:pt>
                <c:pt idx="475">
                  <c:v>1398.2542697846154</c:v>
                </c:pt>
                <c:pt idx="476">
                  <c:v>1404.6269125977569</c:v>
                </c:pt>
                <c:pt idx="477">
                  <c:v>1410.8857330371502</c:v>
                </c:pt>
                <c:pt idx="478">
                  <c:v>1417.0312839586193</c:v>
                </c:pt>
                <c:pt idx="479">
                  <c:v>1423.0641050273132</c:v>
                </c:pt>
                <c:pt idx="480">
                  <c:v>1428.9847229628592</c:v>
                </c:pt>
                <c:pt idx="481">
                  <c:v>1434.7936517767803</c:v>
                </c:pt>
                <c:pt idx="482">
                  <c:v>1440.4913930024272</c:v>
                </c:pt>
                <c:pt idx="483">
                  <c:v>1446.0784359176666</c:v>
                </c:pt>
                <c:pt idx="484">
                  <c:v>1451.5552577605542</c:v>
                </c:pt>
                <c:pt idx="485">
                  <c:v>1456.9223239382197</c:v>
                </c:pt>
                <c:pt idx="486">
                  <c:v>1462.1800882291759</c:v>
                </c:pt>
                <c:pt idx="487">
                  <c:v>1467.3289929792591</c:v>
                </c:pt>
                <c:pt idx="488">
                  <c:v>1472.3694692914037</c:v>
                </c:pt>
                <c:pt idx="489">
                  <c:v>1477.3019372094404</c:v>
                </c:pt>
                <c:pt idx="490">
                  <c:v>1482.12680589611</c:v>
                </c:pt>
                <c:pt idx="491">
                  <c:v>1486.8444738054689</c:v>
                </c:pt>
                <c:pt idx="492">
                  <c:v>1491.4553288498685</c:v>
                </c:pt>
                <c:pt idx="493">
                  <c:v>1495.9597485616762</c:v>
                </c:pt>
                <c:pt idx="494">
                  <c:v>1500.3581002499068</c:v>
                </c:pt>
                <c:pt idx="495">
                  <c:v>1504.6507411519306</c:v>
                </c:pt>
                <c:pt idx="496">
                  <c:v>1508.8380185804156</c:v>
                </c:pt>
                <c:pt idx="497">
                  <c:v>1512.9202700656681</c:v>
                </c:pt>
                <c:pt idx="498">
                  <c:v>1516.8978234935262</c:v>
                </c:pt>
                <c:pt idx="499">
                  <c:v>1520.7709972389648</c:v>
                </c:pt>
                <c:pt idx="500">
                  <c:v>1524.5401002955725</c:v>
                </c:pt>
                <c:pt idx="501">
                  <c:v>1528.2054324010578</c:v>
                </c:pt>
                <c:pt idx="502">
                  <c:v>1531.7672841589506</c:v>
                </c:pt>
                <c:pt idx="503">
                  <c:v>1535.2259371566652</c:v>
                </c:pt>
                <c:pt idx="504">
                  <c:v>1538.5816640801013</c:v>
                </c:pt>
                <c:pt idx="505">
                  <c:v>1541.8347288249654</c:v>
                </c:pt>
                <c:pt idx="506">
                  <c:v>1544.9853866050082</c:v>
                </c:pt>
                <c:pt idx="507">
                  <c:v>1548.0338840573879</c:v>
                </c:pt>
                <c:pt idx="508">
                  <c:v>1550.980459345386</c:v>
                </c:pt>
                <c:pt idx="509">
                  <c:v>1553.8253422587272</c:v>
                </c:pt>
                <c:pt idx="510">
                  <c:v>1556.5687543117826</c:v>
                </c:pt>
                <c:pt idx="511">
                  <c:v>1559.2109088399668</c:v>
                </c:pt>
                <c:pt idx="512">
                  <c:v>1561.7520110946868</c:v>
                </c:pt>
                <c:pt idx="513">
                  <c:v>1564.1922583372518</c:v>
                </c:pt>
                <c:pt idx="514">
                  <c:v>1566.5318399322139</c:v>
                </c:pt>
                <c:pt idx="515">
                  <c:v>1568.7709374406902</c:v>
                </c:pt>
                <c:pt idx="516">
                  <c:v>1570.9097247143147</c:v>
                </c:pt>
                <c:pt idx="517">
                  <c:v>1572.9483679905788</c:v>
                </c:pt>
                <c:pt idx="518">
                  <c:v>1574.8870259904668</c:v>
                </c:pt>
                <c:pt idx="519">
                  <c:v>1576.7258500194598</c:v>
                </c:pt>
                <c:pt idx="520">
                  <c:v>1578.4649840731915</c:v>
                </c:pt>
                <c:pt idx="521">
                  <c:v>1580.1045649492842</c:v>
                </c:pt>
                <c:pt idx="522">
                  <c:v>1581.6447223671933</c:v>
                </c:pt>
                <c:pt idx="523">
                  <c:v>1583.0855790982318</c:v>
                </c:pt>
                <c:pt idx="524">
                  <c:v>1584.4272511083532</c:v>
                </c:pt>
                <c:pt idx="525">
                  <c:v>1585.6698477167274</c:v>
                </c:pt>
                <c:pt idx="526">
                  <c:v>1586.8134717736511</c:v>
                </c:pt>
                <c:pt idx="527">
                  <c:v>1587.8582198618694</c:v>
                </c:pt>
                <c:pt idx="528">
                  <c:v>1588.8041825259133</c:v>
                </c:pt>
                <c:pt idx="529">
                  <c:v>1589.6514445345299</c:v>
                </c:pt>
                <c:pt idx="530">
                  <c:v>1590.400085181604</c:v>
                </c:pt>
                <c:pt idx="531">
                  <c:v>1591.0501786310406</c:v>
                </c:pt>
                <c:pt idx="532">
                  <c:v>1591.6017943107449</c:v>
                </c:pt>
                <c:pt idx="533">
                  <c:v>1592.0549973599602</c:v>
                </c:pt>
                <c:pt idx="534">
                  <c:v>1592.4098491326515</c:v>
                </c:pt>
                <c:pt idx="535">
                  <c:v>1592.6664077572952</c:v>
                </c:pt>
                <c:pt idx="536">
                  <c:v>1592.8247287503809</c:v>
                </c:pt>
                <c:pt idx="537">
                  <c:v>1592.8848656773607</c:v>
                </c:pt>
                <c:pt idx="538">
                  <c:v>1592.8468708510761</c:v>
                </c:pt>
                <c:pt idx="539">
                  <c:v>1592.710796054366</c:v>
                </c:pt>
                <c:pt idx="540">
                  <c:v>1592.4766932711818</c:v>
                </c:pt>
                <c:pt idx="541">
                  <c:v>1592.1446154095174</c:v>
                </c:pt>
                <c:pt idx="542">
                  <c:v>1591.7146170000328</c:v>
                </c:pt>
                <c:pt idx="543">
                  <c:v>1591.1867548562786</c:v>
                </c:pt>
                <c:pt idx="544">
                  <c:v>1590.5610886855379</c:v>
                </c:pt>
                <c:pt idx="545">
                  <c:v>1589.8376816429675</c:v>
                </c:pt>
                <c:pt idx="546">
                  <c:v>1589.0166008253866</c:v>
                </c:pt>
                <c:pt idx="547">
                  <c:v>1588.0979177042952</c:v>
                </c:pt>
                <c:pt idx="548">
                  <c:v>1587.0817085002618</c:v>
                </c:pt>
                <c:pt idx="549">
                  <c:v>1585.9680545026024</c:v>
                </c:pt>
                <c:pt idx="550">
                  <c:v>1584.7570423393342</c:v>
                </c:pt>
                <c:pt idx="551">
                  <c:v>1583.4487642028532</c:v>
                </c:pt>
                <c:pt idx="552">
                  <c:v>1582.0433180368077</c:v>
                </c:pt>
                <c:pt idx="553">
                  <c:v>1580.5408076893648</c:v>
                </c:pt>
                <c:pt idx="554">
                  <c:v>1578.9413430376242</c:v>
                </c:pt>
                <c:pt idx="555">
                  <c:v>1577.2450400873997</c:v>
                </c:pt>
                <c:pt idx="556">
                  <c:v>1575.4520210520507</c:v>
                </c:pt>
                <c:pt idx="557">
                  <c:v>1573.5624144135168</c:v>
                </c:pt>
                <c:pt idx="558">
                  <c:v>1571.5763549682363</c:v>
                </c:pt>
                <c:pt idx="559">
                  <c:v>1569.4939838602018</c:v>
                </c:pt>
                <c:pt idx="560">
                  <c:v>1567.3154486030382</c:v>
                </c:pt>
                <c:pt idx="561">
                  <c:v>1565.0409030926824</c:v>
                </c:pt>
                <c:pt idx="562">
                  <c:v>1562.6705076119686</c:v>
                </c:pt>
                <c:pt idx="563">
                  <c:v>1560.2044288282166</c:v>
                </c:pt>
                <c:pt idx="564">
                  <c:v>1557.6428397847255</c:v>
                </c:pt>
                <c:pt idx="565">
                  <c:v>1554.985919886931</c:v>
                </c:pt>
                <c:pt idx="566">
                  <c:v>1552.2338548838559</c:v>
                </c:pt>
                <c:pt idx="567">
                  <c:v>1549.3868368453836</c:v>
                </c:pt>
                <c:pt idx="568">
                  <c:v>1546.4450641357967</c:v>
                </c:pt>
                <c:pt idx="569">
                  <c:v>1543.4087413839522</c:v>
                </c:pt>
                <c:pt idx="570">
                  <c:v>1540.2780794504142</c:v>
                </c:pt>
                <c:pt idx="571">
                  <c:v>1537.0532953918052</c:v>
                </c:pt>
                <c:pt idx="572">
                  <c:v>1533.7346124226115</c:v>
                </c:pt>
                <c:pt idx="573">
                  <c:v>1530.3222598746349</c:v>
                </c:pt>
                <c:pt idx="574">
                  <c:v>1526.8164731542631</c:v>
                </c:pt>
                <c:pt idx="575">
                  <c:v>1523.2174936977035</c:v>
                </c:pt>
                <c:pt idx="576">
                  <c:v>1519.5255689243108</c:v>
                </c:pt>
                <c:pt idx="577">
                  <c:v>1515.740952188122</c:v>
                </c:pt>
                <c:pt idx="578">
                  <c:v>1511.8639027276972</c:v>
                </c:pt>
                <c:pt idx="579">
                  <c:v>1507.8946856143568</c:v>
                </c:pt>
                <c:pt idx="580">
                  <c:v>1503.8335716988954</c:v>
                </c:pt>
                <c:pt idx="581">
                  <c:v>1499.6808375568451</c:v>
                </c:pt>
                <c:pt idx="582">
                  <c:v>1495.4367654323542</c:v>
                </c:pt>
                <c:pt idx="583">
                  <c:v>1491.1016431807418</c:v>
                </c:pt>
                <c:pt idx="584">
                  <c:v>1486.6757642097862</c:v>
                </c:pt>
                <c:pt idx="585">
                  <c:v>1482.1594274197973</c:v>
                </c:pt>
                <c:pt idx="586">
                  <c:v>1477.5529371425243</c:v>
                </c:pt>
                <c:pt idx="587">
                  <c:v>1472.8566030789432</c:v>
                </c:pt>
                <c:pt idx="588">
                  <c:v>1468.0707402359697</c:v>
                </c:pt>
                <c:pt idx="589">
                  <c:v>1463.1956688621385</c:v>
                </c:pt>
                <c:pt idx="590">
                  <c:v>1458.2317143822895</c:v>
                </c:pt>
                <c:pt idx="591">
                  <c:v>1453.1792073312995</c:v>
                </c:pt>
                <c:pt idx="592">
                  <c:v>1448.0384832868974</c:v>
                </c:pt>
                <c:pt idx="593">
                  <c:v>1442.8098828015993</c:v>
                </c:pt>
                <c:pt idx="594">
                  <c:v>1437.4937513337979</c:v>
                </c:pt>
                <c:pt idx="595">
                  <c:v>1432.0904391780427</c:v>
                </c:pt>
                <c:pt idx="596">
                  <c:v>1426.6003013945433</c:v>
                </c:pt>
                <c:pt idx="597">
                  <c:v>1421.0236977379298</c:v>
                </c:pt>
                <c:pt idx="598">
                  <c:v>1415.3609925853034</c:v>
                </c:pt>
                <c:pt idx="599">
                  <c:v>1409.6125548636094</c:v>
                </c:pt>
                <c:pt idx="600">
                  <c:v>1403.778757976364</c:v>
                </c:pt>
                <c:pt idx="601">
                  <c:v>1397.8599797297663</c:v>
                </c:pt>
                <c:pt idx="602">
                  <c:v>1391.8566022582283</c:v>
                </c:pt>
                <c:pt idx="603">
                  <c:v>1385.7690119493514</c:v>
                </c:pt>
                <c:pt idx="604">
                  <c:v>1379.5975993683812</c:v>
                </c:pt>
                <c:pt idx="605">
                  <c:v>1373.3427591821721</c:v>
                </c:pt>
                <c:pt idx="606">
                  <c:v>1367.0048900826882</c:v>
                </c:pt>
                <c:pt idx="607">
                  <c:v>1360.5843947100743</c:v>
                </c:pt>
                <c:pt idx="608">
                  <c:v>1354.081679575324</c:v>
                </c:pt>
                <c:pt idx="609">
                  <c:v>1347.4971549825741</c:v>
                </c:pt>
                <c:pt idx="610">
                  <c:v>1340.8312349510568</c:v>
                </c:pt>
                <c:pt idx="611">
                  <c:v>1334.084337136735</c:v>
                </c:pt>
                <c:pt idx="612">
                  <c:v>1327.2568827536529</c:v>
                </c:pt>
                <c:pt idx="613">
                  <c:v>1320.3492964950271</c:v>
                </c:pt>
                <c:pt idx="614">
                  <c:v>1313.3620064541085</c:v>
                </c:pt>
                <c:pt idx="615">
                  <c:v>1306.295444044842</c:v>
                </c:pt>
                <c:pt idx="616">
                  <c:v>1299.1500439223519</c:v>
                </c:pt>
                <c:pt idx="617">
                  <c:v>1291.9262439032798</c:v>
                </c:pt>
                <c:pt idx="618">
                  <c:v>1284.6244848860044</c:v>
                </c:pt>
                <c:pt idx="619">
                  <c:v>1277.2452107707661</c:v>
                </c:pt>
                <c:pt idx="620">
                  <c:v>1269.7888683797266</c:v>
                </c:pt>
                <c:pt idx="621">
                  <c:v>1262.2559073769892</c:v>
                </c:pt>
                <c:pt idx="622">
                  <c:v>1254.6467801886038</c:v>
                </c:pt>
                <c:pt idx="623">
                  <c:v>1246.9619419225851</c:v>
                </c:pt>
                <c:pt idx="624">
                  <c:v>1239.2018502889675</c:v>
                </c:pt>
                <c:pt idx="625">
                  <c:v>1231.3669655199242</c:v>
                </c:pt>
                <c:pt idx="626">
                  <c:v>1223.457750289971</c:v>
                </c:pt>
                <c:pt idx="627">
                  <c:v>1215.4746696362863</c:v>
                </c:pt>
                <c:pt idx="628">
                  <c:v>1207.4181908791631</c:v>
                </c:pt>
                <c:pt idx="629">
                  <c:v>1199.2887835426257</c:v>
                </c:pt>
                <c:pt idx="630">
                  <c:v>1191.0869192752264</c:v>
                </c:pt>
                <c:pt idx="631">
                  <c:v>1182.8130717710524</c:v>
                </c:pt>
                <c:pt idx="632">
                  <c:v>1174.467716690961</c:v>
                </c:pt>
                <c:pt idx="633">
                  <c:v>1166.0513315840678</c:v>
                </c:pt>
                <c:pt idx="634">
                  <c:v>1157.5643958095104</c:v>
                </c:pt>
                <c:pt idx="635">
                  <c:v>1149.0073904585065</c:v>
                </c:pt>
                <c:pt idx="636">
                  <c:v>1140.3807982767325</c:v>
                </c:pt>
                <c:pt idx="637">
                  <c:v>1131.6851035870388</c:v>
                </c:pt>
                <c:pt idx="638">
                  <c:v>1122.9207922125261</c:v>
                </c:pt>
                <c:pt idx="639">
                  <c:v>1114.0883514000002</c:v>
                </c:pt>
                <c:pt idx="640">
                  <c:v>1105.1882697438273</c:v>
                </c:pt>
                <c:pt idx="641">
                  <c:v>1096.2210371102076</c:v>
                </c:pt>
                <c:pt idx="642">
                  <c:v>1087.1871445618872</c:v>
                </c:pt>
                <c:pt idx="643">
                  <c:v>1078.0870842833267</c:v>
                </c:pt>
                <c:pt idx="644">
                  <c:v>1068.9213495063434</c:v>
                </c:pt>
                <c:pt idx="645">
                  <c:v>1059.6904344362472</c:v>
                </c:pt>
                <c:pt idx="646">
                  <c:v>1050.3948341784856</c:v>
                </c:pt>
                <c:pt idx="647">
                  <c:v>1041.0350446658153</c:v>
                </c:pt>
                <c:pt idx="648">
                  <c:v>1031.6115625860173</c:v>
                </c:pt>
                <c:pt idx="649">
                  <c:v>1022.1248853101699</c:v>
                </c:pt>
                <c:pt idx="650">
                  <c:v>1012.575510821498</c:v>
                </c:pt>
                <c:pt idx="651">
                  <c:v>1002.9639376448107</c:v>
                </c:pt>
                <c:pt idx="652">
                  <c:v>993.29066477654419</c:v>
                </c:pt>
                <c:pt idx="653">
                  <c:v>983.55619161542302</c:v>
                </c:pt>
                <c:pt idx="654">
                  <c:v>973.76101789375389</c:v>
                </c:pt>
                <c:pt idx="655">
                  <c:v>963.9056436093656</c:v>
                </c:pt>
                <c:pt idx="656">
                  <c:v>953.99056895820729</c:v>
                </c:pt>
                <c:pt idx="657">
                  <c:v>944.01629426761849</c:v>
                </c:pt>
                <c:pt idx="658">
                  <c:v>933.98331993028205</c:v>
                </c:pt>
                <c:pt idx="659">
                  <c:v>923.89214633887218</c:v>
                </c:pt>
                <c:pt idx="660">
                  <c:v>913.74327382140814</c:v>
                </c:pt>
                <c:pt idx="661">
                  <c:v>903.53720257732516</c:v>
                </c:pt>
                <c:pt idx="662">
                  <c:v>893.2744326142722</c:v>
                </c:pt>
                <c:pt idx="663">
                  <c:v>882.95546368564612</c:v>
                </c:pt>
                <c:pt idx="664">
                  <c:v>872.58079522887238</c:v>
                </c:pt>
                <c:pt idx="665">
                  <c:v>862.15092630444065</c:v>
                </c:pt>
                <c:pt idx="666">
                  <c:v>851.66635553570438</c:v>
                </c:pt>
                <c:pt idx="667">
                  <c:v>841.12758104945158</c:v>
                </c:pt>
                <c:pt idx="668">
                  <c:v>830.53510041725531</c:v>
                </c:pt>
                <c:pt idx="669">
                  <c:v>819.88941059761066</c:v>
                </c:pt>
                <c:pt idx="670">
                  <c:v>809.19100787886487</c:v>
                </c:pt>
                <c:pt idx="671">
                  <c:v>798.44038782294763</c:v>
                </c:pt>
                <c:pt idx="672">
                  <c:v>787.63804520990686</c:v>
                </c:pt>
                <c:pt idx="673">
                  <c:v>776.78447398325591</c:v>
                </c:pt>
                <c:pt idx="674">
                  <c:v>765.88016719613665</c:v>
                </c:pt>
                <c:pt idx="675">
                  <c:v>754.92561695830489</c:v>
                </c:pt>
                <c:pt idx="676">
                  <c:v>743.92131438394006</c:v>
                </c:pt>
                <c:pt idx="677">
                  <c:v>732.86774954028544</c:v>
                </c:pt>
                <c:pt idx="678">
                  <c:v>721.7654113971206</c:v>
                </c:pt>
                <c:pt idx="679">
                  <c:v>710.61478777707066</c:v>
                </c:pt>
                <c:pt idx="680">
                  <c:v>699.41636530675441</c:v>
                </c:pt>
                <c:pt idx="681">
                  <c:v>688.17062936877369</c:v>
                </c:pt>
                <c:pt idx="682">
                  <c:v>676.87806405454683</c:v>
                </c:pt>
                <c:pt idx="683">
                  <c:v>665.53915211798653</c:v>
                </c:pt>
                <c:pt idx="684">
                  <c:v>654.15437493002503</c:v>
                </c:pt>
                <c:pt idx="685">
                  <c:v>642.72421243398628</c:v>
                </c:pt>
                <c:pt idx="686">
                  <c:v>631.24914310180691</c:v>
                </c:pt>
                <c:pt idx="687">
                  <c:v>619.72964389110473</c:v>
                </c:pt>
                <c:pt idx="688">
                  <c:v>608.16619020309668</c:v>
                </c:pt>
                <c:pt idx="689">
                  <c:v>596.55925584136423</c:v>
                </c:pt>
                <c:pt idx="690">
                  <c:v>584.90931297146608</c:v>
                </c:pt>
                <c:pt idx="691">
                  <c:v>573.2168320813978</c:v>
                </c:pt>
                <c:pt idx="692">
                  <c:v>561.48228194289595</c:v>
                </c:pt>
                <c:pt idx="693">
                  <c:v>549.70612957358617</c:v>
                </c:pt>
                <c:pt idx="694">
                  <c:v>537.88884019997215</c:v>
                </c:pt>
                <c:pt idx="695">
                  <c:v>526.03087722126452</c:v>
                </c:pt>
                <c:pt idx="696">
                  <c:v>514.13270217404636</c:v>
                </c:pt>
                <c:pt idx="697">
                  <c:v>502.19477469777269</c:v>
                </c:pt>
                <c:pt idx="698">
                  <c:v>490.2175525011009</c:v>
                </c:pt>
                <c:pt idx="699">
                  <c:v>478.20149132904936</c:v>
                </c:pt>
                <c:pt idx="700">
                  <c:v>466.14704493097975</c:v>
                </c:pt>
                <c:pt idx="701">
                  <c:v>454.05466502939987</c:v>
                </c:pt>
                <c:pt idx="702">
                  <c:v>441.92480128958294</c:v>
                </c:pt>
                <c:pt idx="703">
                  <c:v>429.75790128999876</c:v>
                </c:pt>
                <c:pt idx="704">
                  <c:v>417.55441049355227</c:v>
                </c:pt>
                <c:pt idx="705">
                  <c:v>405.31477221962513</c:v>
                </c:pt>
                <c:pt idx="706">
                  <c:v>393.03942761691508</c:v>
                </c:pt>
                <c:pt idx="707">
                  <c:v>380.72881563706756</c:v>
                </c:pt>
                <c:pt idx="708">
                  <c:v>368.38337300909512</c:v>
                </c:pt>
                <c:pt idx="709">
                  <c:v>356.00353421457817</c:v>
                </c:pt>
                <c:pt idx="710">
                  <c:v>343.58973146364167</c:v>
                </c:pt>
                <c:pt idx="711">
                  <c:v>331.14239467170205</c:v>
                </c:pt>
                <c:pt idx="712">
                  <c:v>318.66195143697769</c:v>
                </c:pt>
                <c:pt idx="713">
                  <c:v>306.14882701875717</c:v>
                </c:pt>
                <c:pt idx="714">
                  <c:v>293.60344431641857</c:v>
                </c:pt>
                <c:pt idx="715">
                  <c:v>281.02622384919334</c:v>
                </c:pt>
                <c:pt idx="716">
                  <c:v>268.41758373666784</c:v>
                </c:pt>
                <c:pt idx="717">
                  <c:v>255.77793968001561</c:v>
                </c:pt>
                <c:pt idx="718">
                  <c:v>243.10770494395373</c:v>
                </c:pt>
                <c:pt idx="719">
                  <c:v>230.40729033941557</c:v>
                </c:pt>
                <c:pt idx="720">
                  <c:v>217.67710420693271</c:v>
                </c:pt>
                <c:pt idx="721">
                  <c:v>204.91755240071916</c:v>
                </c:pt>
                <c:pt idx="722">
                  <c:v>192.12903827344942</c:v>
                </c:pt>
                <c:pt idx="723">
                  <c:v>179.31196266172367</c:v>
                </c:pt>
                <c:pt idx="724">
                  <c:v>166.46672387221156</c:v>
                </c:pt>
                <c:pt idx="725">
                  <c:v>153.59371766846726</c:v>
                </c:pt>
                <c:pt idx="726">
                  <c:v>140.69333725840767</c:v>
                </c:pt>
                <c:pt idx="727">
                  <c:v>127.76597328244571</c:v>
                </c:pt>
                <c:pt idx="728">
                  <c:v>114.81201380227068</c:v>
                </c:pt>
                <c:pt idx="729">
                  <c:v>101.83184429026741</c:v>
                </c:pt>
                <c:pt idx="730">
                  <c:v>88.825847619566105</c:v>
                </c:pt>
                <c:pt idx="731">
                  <c:v>75.794404054714477</c:v>
                </c:pt>
                <c:pt idx="732">
                  <c:v>62.737891242963798</c:v>
                </c:pt>
                <c:pt idx="733">
                  <c:v>49.656684206160456</c:v>
                </c:pt>
                <c:pt idx="734">
                  <c:v>36.551155333234618</c:v>
                </c:pt>
                <c:pt idx="735">
                  <c:v>23.421674373277419</c:v>
                </c:pt>
                <c:pt idx="736">
                  <c:v>10.268608429198123</c:v>
                </c:pt>
                <c:pt idx="737">
                  <c:v>-2.907678048047261</c:v>
                </c:pt>
                <c:pt idx="738">
                  <c:v>-2.9208658653494415</c:v>
                </c:pt>
                <c:pt idx="739">
                  <c:v>-2.9340537053299505</c:v>
                </c:pt>
                <c:pt idx="740">
                  <c:v>-2.9472415679884314</c:v>
                </c:pt>
                <c:pt idx="741">
                  <c:v>-2.9604294533245268</c:v>
                </c:pt>
                <c:pt idx="742">
                  <c:v>-2.97361736133788</c:v>
                </c:pt>
                <c:pt idx="743">
                  <c:v>-2.9868052920281336</c:v>
                </c:pt>
                <c:pt idx="744">
                  <c:v>-2.999993245394931</c:v>
                </c:pt>
                <c:pt idx="745">
                  <c:v>-3.0131812214379146</c:v>
                </c:pt>
                <c:pt idx="746">
                  <c:v>-3.0263692201567274</c:v>
                </c:pt>
                <c:pt idx="747">
                  <c:v>-3.0395572415510124</c:v>
                </c:pt>
                <c:pt idx="748">
                  <c:v>-3.0527452856204129</c:v>
                </c:pt>
                <c:pt idx="749">
                  <c:v>-3.0659333523645715</c:v>
                </c:pt>
                <c:pt idx="750">
                  <c:v>-3.0791214417831312</c:v>
                </c:pt>
                <c:pt idx="751">
                  <c:v>-3.0923095538757348</c:v>
                </c:pt>
                <c:pt idx="752">
                  <c:v>-3.1054976886420254</c:v>
                </c:pt>
                <c:pt idx="753">
                  <c:v>-3.1186858460816458</c:v>
                </c:pt>
                <c:pt idx="754">
                  <c:v>-3.131874026194239</c:v>
                </c:pt>
                <c:pt idx="755">
                  <c:v>-3.1450622289794485</c:v>
                </c:pt>
                <c:pt idx="756">
                  <c:v>-3.1582504544369168</c:v>
                </c:pt>
                <c:pt idx="757">
                  <c:v>-3.1714387025662867</c:v>
                </c:pt>
                <c:pt idx="758">
                  <c:v>-3.1846269733672012</c:v>
                </c:pt>
                <c:pt idx="759">
                  <c:v>-3.1978152668393038</c:v>
                </c:pt>
                <c:pt idx="760">
                  <c:v>-3.211003582982237</c:v>
                </c:pt>
                <c:pt idx="761">
                  <c:v>-3.2241919217956436</c:v>
                </c:pt>
                <c:pt idx="762">
                  <c:v>-3.2373802832791672</c:v>
                </c:pt>
                <c:pt idx="763">
                  <c:v>-3.2505686674324501</c:v>
                </c:pt>
                <c:pt idx="764">
                  <c:v>-3.2637570742551358</c:v>
                </c:pt>
                <c:pt idx="765">
                  <c:v>-3.2769455037468669</c:v>
                </c:pt>
                <c:pt idx="766">
                  <c:v>-3.2901339559072866</c:v>
                </c:pt>
                <c:pt idx="767">
                  <c:v>-3.303322430736038</c:v>
                </c:pt>
                <c:pt idx="768">
                  <c:v>-3.3165109282327641</c:v>
                </c:pt>
                <c:pt idx="769">
                  <c:v>-3.3296994483971076</c:v>
                </c:pt>
                <c:pt idx="770">
                  <c:v>-3.3428879912287117</c:v>
                </c:pt>
                <c:pt idx="771">
                  <c:v>-3.3560765567272193</c:v>
                </c:pt>
                <c:pt idx="772">
                  <c:v>-3.3692651448922737</c:v>
                </c:pt>
                <c:pt idx="773">
                  <c:v>-3.3824537557235175</c:v>
                </c:pt>
                <c:pt idx="774">
                  <c:v>-3.395642389220594</c:v>
                </c:pt>
                <c:pt idx="775">
                  <c:v>-3.4088310453831459</c:v>
                </c:pt>
                <c:pt idx="776">
                  <c:v>-3.4220197242108163</c:v>
                </c:pt>
                <c:pt idx="777">
                  <c:v>-3.4352084257032485</c:v>
                </c:pt>
                <c:pt idx="778">
                  <c:v>-3.4483971498600852</c:v>
                </c:pt>
                <c:pt idx="779">
                  <c:v>-3.4615858966809698</c:v>
                </c:pt>
                <c:pt idx="780">
                  <c:v>-3.474774666165545</c:v>
                </c:pt>
                <c:pt idx="781">
                  <c:v>-3.487963458313454</c:v>
                </c:pt>
                <c:pt idx="782">
                  <c:v>-3.5011522731243394</c:v>
                </c:pt>
                <c:pt idx="783">
                  <c:v>-3.5143411105978446</c:v>
                </c:pt>
                <c:pt idx="784">
                  <c:v>-3.527529970733613</c:v>
                </c:pt>
                <c:pt idx="785">
                  <c:v>-3.540718853531287</c:v>
                </c:pt>
                <c:pt idx="786">
                  <c:v>-3.5539077589905101</c:v>
                </c:pt>
                <c:pt idx="787">
                  <c:v>-3.5670966871109249</c:v>
                </c:pt>
                <c:pt idx="788">
                  <c:v>-3.5802856378921746</c:v>
                </c:pt>
                <c:pt idx="789">
                  <c:v>-3.5934746113339022</c:v>
                </c:pt>
                <c:pt idx="790">
                  <c:v>-3.6066636074357512</c:v>
                </c:pt>
                <c:pt idx="791">
                  <c:v>-3.6198526261973645</c:v>
                </c:pt>
                <c:pt idx="792">
                  <c:v>-3.6330416676183845</c:v>
                </c:pt>
                <c:pt idx="793">
                  <c:v>-3.6462307316984552</c:v>
                </c:pt>
                <c:pt idx="794">
                  <c:v>-3.6594198184372191</c:v>
                </c:pt>
                <c:pt idx="795">
                  <c:v>-3.6726089278343195</c:v>
                </c:pt>
                <c:pt idx="796">
                  <c:v>-3.6857980598893989</c:v>
                </c:pt>
                <c:pt idx="797">
                  <c:v>-3.6989872146021012</c:v>
                </c:pt>
                <c:pt idx="798">
                  <c:v>-3.7121763919720689</c:v>
                </c:pt>
                <c:pt idx="799">
                  <c:v>-3.7253655919989455</c:v>
                </c:pt>
                <c:pt idx="800">
                  <c:v>-3.7385548146823737</c:v>
                </c:pt>
                <c:pt idx="801">
                  <c:v>-3.7517440600219967</c:v>
                </c:pt>
                <c:pt idx="802">
                  <c:v>-3.7649333280174573</c:v>
                </c:pt>
                <c:pt idx="803">
                  <c:v>-3.7781226186683989</c:v>
                </c:pt>
                <c:pt idx="804">
                  <c:v>-3.7913119319744646</c:v>
                </c:pt>
                <c:pt idx="805">
                  <c:v>-3.8045012679352976</c:v>
                </c:pt>
                <c:pt idx="806">
                  <c:v>-3.817690626550541</c:v>
                </c:pt>
                <c:pt idx="807">
                  <c:v>-3.8308800078198377</c:v>
                </c:pt>
                <c:pt idx="808">
                  <c:v>-3.8440694117428307</c:v>
                </c:pt>
                <c:pt idx="809">
                  <c:v>-3.8572588383191633</c:v>
                </c:pt>
                <c:pt idx="810">
                  <c:v>-3.8704482875484785</c:v>
                </c:pt>
                <c:pt idx="811">
                  <c:v>-3.8836377594304197</c:v>
                </c:pt>
                <c:pt idx="812">
                  <c:v>-3.8968272539646294</c:v>
                </c:pt>
                <c:pt idx="813">
                  <c:v>-3.9100167711507514</c:v>
                </c:pt>
                <c:pt idx="814">
                  <c:v>-3.9232063109884283</c:v>
                </c:pt>
                <c:pt idx="815">
                  <c:v>-3.9363958734773035</c:v>
                </c:pt>
                <c:pt idx="816">
                  <c:v>-3.9495854586170198</c:v>
                </c:pt>
                <c:pt idx="817">
                  <c:v>-3.9627750664072208</c:v>
                </c:pt>
                <c:pt idx="818">
                  <c:v>-3.9759646968475493</c:v>
                </c:pt>
                <c:pt idx="819">
                  <c:v>-3.9891543499376483</c:v>
                </c:pt>
                <c:pt idx="820">
                  <c:v>-4.0023440256771616</c:v>
                </c:pt>
                <c:pt idx="821">
                  <c:v>-4.0155337240657314</c:v>
                </c:pt>
                <c:pt idx="822">
                  <c:v>-4.0287234451030018</c:v>
                </c:pt>
                <c:pt idx="823">
                  <c:v>-4.0419131887886151</c:v>
                </c:pt>
                <c:pt idx="824">
                  <c:v>-4.0551029551222149</c:v>
                </c:pt>
                <c:pt idx="825">
                  <c:v>-4.0682927441034442</c:v>
                </c:pt>
                <c:pt idx="826">
                  <c:v>-4.0814825557319461</c:v>
                </c:pt>
                <c:pt idx="827">
                  <c:v>-4.0946723900073634</c:v>
                </c:pt>
                <c:pt idx="828">
                  <c:v>-4.10786224692934</c:v>
                </c:pt>
                <c:pt idx="829">
                  <c:v>-4.1210521264975188</c:v>
                </c:pt>
                <c:pt idx="830">
                  <c:v>-4.1342420287115429</c:v>
                </c:pt>
                <c:pt idx="831">
                  <c:v>-4.1474319535710551</c:v>
                </c:pt>
                <c:pt idx="832">
                  <c:v>-4.1606219010756993</c:v>
                </c:pt>
                <c:pt idx="833">
                  <c:v>-4.1738118712251184</c:v>
                </c:pt>
                <c:pt idx="834">
                  <c:v>-4.1870018640189555</c:v>
                </c:pt>
                <c:pt idx="835">
                  <c:v>-4.2001918794568533</c:v>
                </c:pt>
                <c:pt idx="836">
                  <c:v>-4.2133819175384559</c:v>
                </c:pt>
                <c:pt idx="837">
                  <c:v>-4.2265719782634052</c:v>
                </c:pt>
                <c:pt idx="838">
                  <c:v>-4.2397620616313452</c:v>
                </c:pt>
                <c:pt idx="839">
                  <c:v>-4.2529521676419195</c:v>
                </c:pt>
                <c:pt idx="840">
                  <c:v>-4.2661422962947704</c:v>
                </c:pt>
                <c:pt idx="841">
                  <c:v>-4.2793324475895416</c:v>
                </c:pt>
                <c:pt idx="842">
                  <c:v>-4.292522621525876</c:v>
                </c:pt>
                <c:pt idx="843">
                  <c:v>-4.3057128181034177</c:v>
                </c:pt>
                <c:pt idx="844">
                  <c:v>-4.3189030373218085</c:v>
                </c:pt>
                <c:pt idx="845">
                  <c:v>-4.3320932791806923</c:v>
                </c:pt>
                <c:pt idx="846">
                  <c:v>-4.3452835436797121</c:v>
                </c:pt>
                <c:pt idx="847">
                  <c:v>-4.3584738308185118</c:v>
                </c:pt>
                <c:pt idx="848">
                  <c:v>-4.3716641405967334</c:v>
                </c:pt>
                <c:pt idx="849">
                  <c:v>-4.3848544730140206</c:v>
                </c:pt>
                <c:pt idx="850">
                  <c:v>-4.3980448280700175</c:v>
                </c:pt>
                <c:pt idx="851">
                  <c:v>-4.411235205764366</c:v>
                </c:pt>
                <c:pt idx="852">
                  <c:v>-4.42442560609671</c:v>
                </c:pt>
                <c:pt idx="853">
                  <c:v>-4.4376160290666933</c:v>
                </c:pt>
                <c:pt idx="854">
                  <c:v>-4.450806474673958</c:v>
                </c:pt>
                <c:pt idx="855">
                  <c:v>-4.4639969429181479</c:v>
                </c:pt>
                <c:pt idx="856">
                  <c:v>-4.4771874337989059</c:v>
                </c:pt>
                <c:pt idx="857">
                  <c:v>-4.4903779473158751</c:v>
                </c:pt>
                <c:pt idx="858">
                  <c:v>-4.5035684834686993</c:v>
                </c:pt>
                <c:pt idx="859">
                  <c:v>-4.5167590422570214</c:v>
                </c:pt>
                <c:pt idx="860">
                  <c:v>-4.5299496236804853</c:v>
                </c:pt>
                <c:pt idx="861">
                  <c:v>-4.5431402277387329</c:v>
                </c:pt>
                <c:pt idx="862">
                  <c:v>-4.5563308544314083</c:v>
                </c:pt>
                <c:pt idx="863">
                  <c:v>-4.5695215037581551</c:v>
                </c:pt>
                <c:pt idx="864">
                  <c:v>-4.5827121757186156</c:v>
                </c:pt>
                <c:pt idx="865">
                  <c:v>-4.5959028703124334</c:v>
                </c:pt>
                <c:pt idx="866">
                  <c:v>-4.6090935875392525</c:v>
                </c:pt>
                <c:pt idx="867">
                  <c:v>-4.6222843273987149</c:v>
                </c:pt>
                <c:pt idx="868">
                  <c:v>-4.6354750898904644</c:v>
                </c:pt>
                <c:pt idx="869">
                  <c:v>-4.648665875014145</c:v>
                </c:pt>
                <c:pt idx="870">
                  <c:v>-4.6618566827693995</c:v>
                </c:pt>
                <c:pt idx="871">
                  <c:v>-4.6750475131558709</c:v>
                </c:pt>
                <c:pt idx="872">
                  <c:v>-4.6882383661732021</c:v>
                </c:pt>
                <c:pt idx="873">
                  <c:v>-4.7014292418210371</c:v>
                </c:pt>
                <c:pt idx="874">
                  <c:v>-4.7146201400990186</c:v>
                </c:pt>
                <c:pt idx="875">
                  <c:v>-4.7278110610067907</c:v>
                </c:pt>
                <c:pt idx="876">
                  <c:v>-4.7410020045439953</c:v>
                </c:pt>
                <c:pt idx="877">
                  <c:v>-4.7541929707102772</c:v>
                </c:pt>
                <c:pt idx="878">
                  <c:v>-4.7673839595052785</c:v>
                </c:pt>
                <c:pt idx="879">
                  <c:v>-4.7805749709286429</c:v>
                </c:pt>
                <c:pt idx="880">
                  <c:v>-4.7937660049800144</c:v>
                </c:pt>
                <c:pt idx="881">
                  <c:v>-4.8069570616590349</c:v>
                </c:pt>
                <c:pt idx="882">
                  <c:v>-4.8201481409653493</c:v>
                </c:pt>
                <c:pt idx="883">
                  <c:v>-4.8333392428985995</c:v>
                </c:pt>
                <c:pt idx="884">
                  <c:v>-4.8465303674584295</c:v>
                </c:pt>
                <c:pt idx="885">
                  <c:v>-4.8597215146444821</c:v>
                </c:pt>
                <c:pt idx="886">
                  <c:v>-4.8729126844564012</c:v>
                </c:pt>
                <c:pt idx="887">
                  <c:v>-4.8861038768938299</c:v>
                </c:pt>
                <c:pt idx="888">
                  <c:v>-4.8992950919564118</c:v>
                </c:pt>
                <c:pt idx="889">
                  <c:v>-4.91248632964379</c:v>
                </c:pt>
                <c:pt idx="890">
                  <c:v>-4.9256775899556073</c:v>
                </c:pt>
                <c:pt idx="891">
                  <c:v>-4.9388688728915078</c:v>
                </c:pt>
                <c:pt idx="892">
                  <c:v>-4.9520601784511342</c:v>
                </c:pt>
                <c:pt idx="893">
                  <c:v>-4.9652515066341296</c:v>
                </c:pt>
                <c:pt idx="894">
                  <c:v>-4.9784428574401378</c:v>
                </c:pt>
                <c:pt idx="895">
                  <c:v>-4.9916342308688026</c:v>
                </c:pt>
                <c:pt idx="896">
                  <c:v>-5.0048256269197671</c:v>
                </c:pt>
                <c:pt idx="897">
                  <c:v>-5.018017045592674</c:v>
                </c:pt>
                <c:pt idx="898">
                  <c:v>-5.0312084868871674</c:v>
                </c:pt>
                <c:pt idx="899">
                  <c:v>-5.0443999508028901</c:v>
                </c:pt>
                <c:pt idx="900">
                  <c:v>-5.057591437339485</c:v>
                </c:pt>
                <c:pt idx="901">
                  <c:v>-5.0707829464965961</c:v>
                </c:pt>
                <c:pt idx="902">
                  <c:v>-5.0839744782738672</c:v>
                </c:pt>
                <c:pt idx="903">
                  <c:v>-5.0971660326709411</c:v>
                </c:pt>
                <c:pt idx="904">
                  <c:v>-5.110357609687461</c:v>
                </c:pt>
                <c:pt idx="905">
                  <c:v>-5.1235492093230706</c:v>
                </c:pt>
                <c:pt idx="906">
                  <c:v>-5.1367408315774128</c:v>
                </c:pt>
                <c:pt idx="907">
                  <c:v>-5.1499324764501315</c:v>
                </c:pt>
                <c:pt idx="908">
                  <c:v>-5.1631241439408697</c:v>
                </c:pt>
                <c:pt idx="909">
                  <c:v>-5.1763158340492712</c:v>
                </c:pt>
                <c:pt idx="910">
                  <c:v>-5.1895075467749789</c:v>
                </c:pt>
                <c:pt idx="911">
                  <c:v>-5.2026992821176368</c:v>
                </c:pt>
                <c:pt idx="912">
                  <c:v>-5.2158910400768876</c:v>
                </c:pt>
                <c:pt idx="913">
                  <c:v>-5.2290828206523745</c:v>
                </c:pt>
                <c:pt idx="914">
                  <c:v>-5.2422746238437412</c:v>
                </c:pt>
                <c:pt idx="915">
                  <c:v>-5.2554664496506316</c:v>
                </c:pt>
                <c:pt idx="916">
                  <c:v>-5.2686582980726886</c:v>
                </c:pt>
                <c:pt idx="917">
                  <c:v>-5.2818501691095552</c:v>
                </c:pt>
                <c:pt idx="918">
                  <c:v>-5.2950420627608752</c:v>
                </c:pt>
                <c:pt idx="919">
                  <c:v>-5.3082339790262925</c:v>
                </c:pt>
                <c:pt idx="920">
                  <c:v>-5.3214259179054499</c:v>
                </c:pt>
                <c:pt idx="921">
                  <c:v>-5.3346178793979906</c:v>
                </c:pt>
                <c:pt idx="922">
                  <c:v>-5.3478098635035582</c:v>
                </c:pt>
                <c:pt idx="923">
                  <c:v>-5.3610018702217968</c:v>
                </c:pt>
                <c:pt idx="924">
                  <c:v>-5.3741938995523491</c:v>
                </c:pt>
                <c:pt idx="925">
                  <c:v>-5.3873859514948581</c:v>
                </c:pt>
                <c:pt idx="926">
                  <c:v>-5.4005780260489678</c:v>
                </c:pt>
                <c:pt idx="927">
                  <c:v>-5.4137701232143218</c:v>
                </c:pt>
                <c:pt idx="928">
                  <c:v>-5.4269622429905633</c:v>
                </c:pt>
                <c:pt idx="929">
                  <c:v>-5.4401543853773351</c:v>
                </c:pt>
                <c:pt idx="930">
                  <c:v>-5.4533465503742811</c:v>
                </c:pt>
                <c:pt idx="931">
                  <c:v>-5.4665387379810451</c:v>
                </c:pt>
                <c:pt idx="932">
                  <c:v>-5.47973094819727</c:v>
                </c:pt>
                <c:pt idx="933">
                  <c:v>-5.4929231810225998</c:v>
                </c:pt>
                <c:pt idx="934">
                  <c:v>-5.5061154364566773</c:v>
                </c:pt>
                <c:pt idx="935">
                  <c:v>-5.5193077144991465</c:v>
                </c:pt>
                <c:pt idx="936">
                  <c:v>-5.5325000151496502</c:v>
                </c:pt>
                <c:pt idx="937">
                  <c:v>-5.5456923384078323</c:v>
                </c:pt>
                <c:pt idx="938">
                  <c:v>-5.5588846842733357</c:v>
                </c:pt>
                <c:pt idx="939">
                  <c:v>-5.5720770527458043</c:v>
                </c:pt>
                <c:pt idx="940">
                  <c:v>-5.585269443824882</c:v>
                </c:pt>
                <c:pt idx="941">
                  <c:v>-5.5984618575102116</c:v>
                </c:pt>
                <c:pt idx="942">
                  <c:v>-5.6116542938014371</c:v>
                </c:pt>
                <c:pt idx="943">
                  <c:v>-5.6248467526982013</c:v>
                </c:pt>
                <c:pt idx="944">
                  <c:v>-5.6380392342001482</c:v>
                </c:pt>
                <c:pt idx="945">
                  <c:v>-5.6512317383069206</c:v>
                </c:pt>
                <c:pt idx="946">
                  <c:v>-5.6644242650181624</c:v>
                </c:pt>
                <c:pt idx="947">
                  <c:v>-5.6776168143335175</c:v>
                </c:pt>
                <c:pt idx="948">
                  <c:v>-5.6908093862526288</c:v>
                </c:pt>
                <c:pt idx="949">
                  <c:v>-5.7040019807751392</c:v>
                </c:pt>
                <c:pt idx="950">
                  <c:v>-5.7171945979006935</c:v>
                </c:pt>
                <c:pt idx="951">
                  <c:v>-5.7303872376289346</c:v>
                </c:pt>
                <c:pt idx="952">
                  <c:v>-5.7435798999595056</c:v>
                </c:pt>
                <c:pt idx="953">
                  <c:v>-5.7567725848920501</c:v>
                </c:pt>
                <c:pt idx="954">
                  <c:v>-5.7699652924262121</c:v>
                </c:pt>
                <c:pt idx="955">
                  <c:v>-5.7831580225616346</c:v>
                </c:pt>
                <c:pt idx="956">
                  <c:v>-5.7963507752979613</c:v>
                </c:pt>
                <c:pt idx="957">
                  <c:v>-5.8095435506348352</c:v>
                </c:pt>
                <c:pt idx="958">
                  <c:v>-5.8227363485719001</c:v>
                </c:pt>
                <c:pt idx="959">
                  <c:v>-5.8359291691088</c:v>
                </c:pt>
                <c:pt idx="960">
                  <c:v>-5.8491220122451777</c:v>
                </c:pt>
                <c:pt idx="961">
                  <c:v>-5.8623148779806771</c:v>
                </c:pt>
                <c:pt idx="962">
                  <c:v>-5.875507766314942</c:v>
                </c:pt>
                <c:pt idx="963">
                  <c:v>-5.8887006772476154</c:v>
                </c:pt>
                <c:pt idx="964">
                  <c:v>-5.9018936107783411</c:v>
                </c:pt>
                <c:pt idx="965">
                  <c:v>-5.915086566906762</c:v>
                </c:pt>
                <c:pt idx="966">
                  <c:v>-5.9282795456325221</c:v>
                </c:pt>
                <c:pt idx="967">
                  <c:v>-5.9414725469552652</c:v>
                </c:pt>
                <c:pt idx="968">
                  <c:v>-5.9546655708746341</c:v>
                </c:pt>
                <c:pt idx="969">
                  <c:v>-5.9678586173902728</c:v>
                </c:pt>
                <c:pt idx="970">
                  <c:v>-5.9810516865018251</c:v>
                </c:pt>
                <c:pt idx="971">
                  <c:v>-5.9942447782089339</c:v>
                </c:pt>
                <c:pt idx="972">
                  <c:v>-6.007437892511243</c:v>
                </c:pt>
                <c:pt idx="973">
                  <c:v>-6.0206310294083965</c:v>
                </c:pt>
                <c:pt idx="974">
                  <c:v>-6.033824188900037</c:v>
                </c:pt>
                <c:pt idx="975">
                  <c:v>-6.0470173709858086</c:v>
                </c:pt>
                <c:pt idx="976">
                  <c:v>-6.060210575665355</c:v>
                </c:pt>
                <c:pt idx="977">
                  <c:v>-6.0734038029383193</c:v>
                </c:pt>
                <c:pt idx="978">
                  <c:v>-6.0865970528043452</c:v>
                </c:pt>
                <c:pt idx="979">
                  <c:v>-6.0997903252630756</c:v>
                </c:pt>
                <c:pt idx="980">
                  <c:v>-6.1129836203141545</c:v>
                </c:pt>
                <c:pt idx="981">
                  <c:v>-6.1261769379572257</c:v>
                </c:pt>
                <c:pt idx="982">
                  <c:v>-6.139370278191933</c:v>
                </c:pt>
                <c:pt idx="983">
                  <c:v>-6.1525636410179194</c:v>
                </c:pt>
                <c:pt idx="984">
                  <c:v>-6.1657570264348287</c:v>
                </c:pt>
                <c:pt idx="985">
                  <c:v>-6.1789504344423047</c:v>
                </c:pt>
                <c:pt idx="986">
                  <c:v>-6.1921438650399905</c:v>
                </c:pt>
                <c:pt idx="987">
                  <c:v>-6.2053373182275298</c:v>
                </c:pt>
                <c:pt idx="988">
                  <c:v>-6.2185307940045664</c:v>
                </c:pt>
                <c:pt idx="989">
                  <c:v>-6.2317242923707443</c:v>
                </c:pt>
                <c:pt idx="990">
                  <c:v>-6.2449178133257064</c:v>
                </c:pt>
                <c:pt idx="991">
                  <c:v>-6.2581113568690965</c:v>
                </c:pt>
                <c:pt idx="992">
                  <c:v>-6.2713049230005575</c:v>
                </c:pt>
                <c:pt idx="993">
                  <c:v>-6.2844985117197343</c:v>
                </c:pt>
                <c:pt idx="994">
                  <c:v>-6.2976921230262697</c:v>
                </c:pt>
                <c:pt idx="995">
                  <c:v>-6.3108857569198067</c:v>
                </c:pt>
                <c:pt idx="996">
                  <c:v>-6.32407941339999</c:v>
                </c:pt>
                <c:pt idx="997">
                  <c:v>-6.3372730924664626</c:v>
                </c:pt>
                <c:pt idx="998">
                  <c:v>-6.3504667941188684</c:v>
                </c:pt>
                <c:pt idx="999">
                  <c:v>-6.3636605183568511</c:v>
                </c:pt>
                <c:pt idx="1000">
                  <c:v>-6.3768542651800537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3B-6442-AFEC-07E56791BA28}"/>
            </c:ext>
          </c:extLst>
        </c:ser>
        <c:ser>
          <c:idx val="4"/>
          <c:order val="3"/>
          <c:tx>
            <c:strRef>
              <c:f>Trajecto!$B$109</c:f>
              <c:strCache>
                <c:ptCount val="1"/>
                <c:pt idx="0">
                  <c:v>Satellite sous parachute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Trajecto!$B$140:$B$146</c:f>
              <c:numCache>
                <c:formatCode>0</c:formatCode>
                <c:ptCount val="7"/>
                <c:pt idx="0">
                  <c:v>111.03940378853518</c:v>
                </c:pt>
                <c:pt idx="1">
                  <c:v>111.03940378853518</c:v>
                </c:pt>
                <c:pt idx="2">
                  <c:v>111.03940378853518</c:v>
                </c:pt>
                <c:pt idx="3">
                  <c:v>134.30201072967139</c:v>
                </c:pt>
                <c:pt idx="4">
                  <c:v>111.03940378853518</c:v>
                </c:pt>
                <c:pt idx="5">
                  <c:v>87.77679684739897</c:v>
                </c:pt>
                <c:pt idx="6">
                  <c:v>111.03940378853518</c:v>
                </c:pt>
              </c:numCache>
            </c:numRef>
          </c:xVal>
          <c:yVal>
            <c:numRef>
              <c:f>Trajecto!$C$138:$C$144</c:f>
              <c:numCache>
                <c:formatCode>0</c:formatCode>
                <c:ptCount val="7"/>
                <c:pt idx="0">
                  <c:v>930.50427764544861</c:v>
                </c:pt>
                <c:pt idx="1">
                  <c:v>232.62606941136215</c:v>
                </c:pt>
                <c:pt idx="2">
                  <c:v>0</c:v>
                </c:pt>
                <c:pt idx="3">
                  <c:v>46.525213882272432</c:v>
                </c:pt>
                <c:pt idx="4">
                  <c:v>0</c:v>
                </c:pt>
                <c:pt idx="5">
                  <c:v>46.525213882272432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B-6442-AFEC-07E56791BA28}"/>
            </c:ext>
          </c:extLst>
        </c:ser>
        <c:ser>
          <c:idx val="5"/>
          <c:order val="4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3.1146971970863913E-6</c:v>
                </c:pt>
                <c:pt idx="2">
                  <c:v>1.0388426694093229E-4</c:v>
                </c:pt>
                <c:pt idx="3">
                  <c:v>4.8521253657299817E-4</c:v>
                </c:pt>
                <c:pt idx="4">
                  <c:v>1.3301375760294335E-3</c:v>
                </c:pt>
                <c:pt idx="5">
                  <c:v>2.8218883467611778E-3</c:v>
                </c:pt>
                <c:pt idx="6">
                  <c:v>5.0975888067214259E-3</c:v>
                </c:pt>
                <c:pt idx="7">
                  <c:v>8.2018428797820606E-3</c:v>
                </c:pt>
                <c:pt idx="8">
                  <c:v>1.2132944531041016E-2</c:v>
                </c:pt>
                <c:pt idx="9">
                  <c:v>1.6889178844236193E-2</c:v>
                </c:pt>
                <c:pt idx="10">
                  <c:v>2.2468822051783219E-2</c:v>
                </c:pt>
                <c:pt idx="11">
                  <c:v>2.8870141565153617E-2</c:v>
                </c:pt>
                <c:pt idx="12">
                  <c:v>3.6091396005590887E-2</c:v>
                </c:pt>
                <c:pt idx="13">
                  <c:v>4.4130835235162147E-2</c:v>
                </c:pt>
                <c:pt idx="14">
                  <c:v>5.29867003881428E-2</c:v>
                </c:pt>
                <c:pt idx="15">
                  <c:v>6.265722390273179E-2</c:v>
                </c:pt>
                <c:pt idx="16">
                  <c:v>7.314062955309486E-2</c:v>
                </c:pt>
                <c:pt idx="17">
                  <c:v>8.4435132481733288E-2</c:v>
                </c:pt>
                <c:pt idx="18">
                  <c:v>9.6538939232175533E-2</c:v>
                </c:pt>
                <c:pt idx="19">
                  <c:v>0.10945024778198914</c:v>
                </c:pt>
                <c:pt idx="20">
                  <c:v>0.12316724757611026</c:v>
                </c:pt>
                <c:pt idx="21">
                  <c:v>0.13768811956048818</c:v>
                </c:pt>
                <c:pt idx="22">
                  <c:v>0.15301103621604212</c:v>
                </c:pt>
                <c:pt idx="23">
                  <c:v>0.16913416159292746</c:v>
                </c:pt>
                <c:pt idx="24">
                  <c:v>0.18605565134510901</c:v>
                </c:pt>
                <c:pt idx="25">
                  <c:v>0.20377365276523807</c:v>
                </c:pt>
                <c:pt idx="26">
                  <c:v>0.22228630481983078</c:v>
                </c:pt>
                <c:pt idx="27">
                  <c:v>0.24159173818474491</c:v>
                </c:pt>
                <c:pt idx="28">
                  <c:v>0.26168807528095228</c:v>
                </c:pt>
                <c:pt idx="29">
                  <c:v>0.2825734303106035</c:v>
                </c:pt>
                <c:pt idx="30">
                  <c:v>0.30424590929338302</c:v>
                </c:pt>
                <c:pt idx="31">
                  <c:v>0.32670361010315052</c:v>
                </c:pt>
                <c:pt idx="32">
                  <c:v>0.34994462250486652</c:v>
                </c:pt>
                <c:pt idx="33">
                  <c:v>0.37400963669571724</c:v>
                </c:pt>
                <c:pt idx="34">
                  <c:v>0.39894081854126145</c:v>
                </c:pt>
                <c:pt idx="35">
                  <c:v>0.42473917579575393</c:v>
                </c:pt>
                <c:pt idx="36">
                  <c:v>0.45140563745580914</c:v>
                </c:pt>
                <c:pt idx="37">
                  <c:v>0.47894103608090038</c:v>
                </c:pt>
                <c:pt idx="38">
                  <c:v>0.5073461125343437</c:v>
                </c:pt>
                <c:pt idx="39">
                  <c:v>0.53662152033457589</c:v>
                </c:pt>
                <c:pt idx="40">
                  <c:v>0.56676782965914474</c:v>
                </c:pt>
                <c:pt idx="41">
                  <c:v>0.59778553103818288</c:v>
                </c:pt>
                <c:pt idx="42">
                  <c:v>0.62967503876936903</c:v>
                </c:pt>
                <c:pt idx="43">
                  <c:v>0.66243669408234307</c:v>
                </c:pt>
                <c:pt idx="44">
                  <c:v>0.69607076807709711</c:v>
                </c:pt>
                <c:pt idx="45">
                  <c:v>0.73057746445792482</c:v>
                </c:pt>
                <c:pt idx="46">
                  <c:v>0.76595692208197996</c:v>
                </c:pt>
                <c:pt idx="47">
                  <c:v>0.80220921733931883</c:v>
                </c:pt>
                <c:pt idx="48">
                  <c:v>0.83933436637941372</c:v>
                </c:pt>
                <c:pt idx="49">
                  <c:v>0.87733232719748799</c:v>
                </c:pt>
                <c:pt idx="50">
                  <c:v>0.91620300159259549</c:v>
                </c:pt>
                <c:pt idx="51">
                  <c:v>0.9559464938864678</c:v>
                </c:pt>
                <c:pt idx="52">
                  <c:v>0.99656337164848974</c:v>
                </c:pt>
                <c:pt idx="53">
                  <c:v>1.0380544132196197</c:v>
                </c:pt>
                <c:pt idx="54">
                  <c:v>1.0804203529451997</c:v>
                </c:pt>
                <c:pt idx="55">
                  <c:v>1.1236618824659401</c:v>
                </c:pt>
                <c:pt idx="56">
                  <c:v>1.1677796519398715</c:v>
                </c:pt>
                <c:pt idx="57">
                  <c:v>1.2127742712002452</c:v>
                </c:pt>
                <c:pt idx="58">
                  <c:v>1.2586463108539192</c:v>
                </c:pt>
                <c:pt idx="59">
                  <c:v>1.3053963033243756</c:v>
                </c:pt>
                <c:pt idx="60">
                  <c:v>1.3530247438431549</c:v>
                </c:pt>
                <c:pt idx="61">
                  <c:v>1.401532091393179</c:v>
                </c:pt>
                <c:pt idx="62">
                  <c:v>1.4509187696071442</c:v>
                </c:pt>
                <c:pt idx="63">
                  <c:v>1.5011851676239067</c:v>
                </c:pt>
                <c:pt idx="64">
                  <c:v>1.5523316409055528</c:v>
                </c:pt>
                <c:pt idx="65">
                  <c:v>1.6043585120176278</c:v>
                </c:pt>
                <c:pt idx="66">
                  <c:v>1.6572660713748129</c:v>
                </c:pt>
                <c:pt idx="67">
                  <c:v>1.7110545779541579</c:v>
                </c:pt>
                <c:pt idx="68">
                  <c:v>1.7657242599778249</c:v>
                </c:pt>
                <c:pt idx="69">
                  <c:v>1.8212753155671488</c:v>
                </c:pt>
                <c:pt idx="70">
                  <c:v>1.8777079133696941</c:v>
                </c:pt>
                <c:pt idx="71">
                  <c:v>1.9350221931608598</c:v>
                </c:pt>
                <c:pt idx="72">
                  <c:v>1.993218266421481</c:v>
                </c:pt>
                <c:pt idx="73">
                  <c:v>2.052296216892771</c:v>
                </c:pt>
                <c:pt idx="74">
                  <c:v>2.112256101109856</c:v>
                </c:pt>
                <c:pt idx="75">
                  <c:v>2.1730979489150708</c:v>
                </c:pt>
                <c:pt idx="76">
                  <c:v>2.2348217639521013</c:v>
                </c:pt>
                <c:pt idx="77">
                  <c:v>2.2974275241419964</c:v>
                </c:pt>
                <c:pt idx="78">
                  <c:v>2.3609151821419938</c:v>
                </c:pt>
                <c:pt idx="79">
                  <c:v>2.4252846657880545</c:v>
                </c:pt>
                <c:pt idx="80">
                  <c:v>2.4905358785219365</c:v>
                </c:pt>
                <c:pt idx="81">
                  <c:v>2.5566686998035895</c:v>
                </c:pt>
                <c:pt idx="82">
                  <c:v>2.6236829855096024</c:v>
                </c:pt>
                <c:pt idx="83">
                  <c:v>2.6915785683183917</c:v>
                </c:pt>
                <c:pt idx="84">
                  <c:v>2.7603552580827779</c:v>
                </c:pt>
                <c:pt idx="85">
                  <c:v>2.8300128421905555</c:v>
                </c:pt>
                <c:pt idx="86">
                  <c:v>2.9005510859136296</c:v>
                </c:pt>
                <c:pt idx="87">
                  <c:v>2.9719697327462593</c:v>
                </c:pt>
                <c:pt idx="88">
                  <c:v>3.0442685047329099</c:v>
                </c:pt>
                <c:pt idx="89">
                  <c:v>3.1174471027861981</c:v>
                </c:pt>
                <c:pt idx="90">
                  <c:v>3.1915052069953793</c:v>
                </c:pt>
                <c:pt idx="91">
                  <c:v>3.2664424769258029</c:v>
                </c:pt>
                <c:pt idx="92">
                  <c:v>3.3422585519097381</c:v>
                </c:pt>
                <c:pt idx="93">
                  <c:v>3.4189530513289537</c:v>
                </c:pt>
                <c:pt idx="94">
                  <c:v>3.4965255748894091</c:v>
                </c:pt>
                <c:pt idx="95">
                  <c:v>3.5749757028883984</c:v>
                </c:pt>
                <c:pt idx="96">
                  <c:v>3.654302996474474</c:v>
                </c:pt>
                <c:pt idx="97">
                  <c:v>3.734506997900449</c:v>
                </c:pt>
                <c:pt idx="98">
                  <c:v>3.8155872307697769</c:v>
                </c:pt>
                <c:pt idx="99">
                  <c:v>3.8975432002765764</c:v>
                </c:pt>
                <c:pt idx="100">
                  <c:v>3.9803743934395683</c:v>
                </c:pt>
                <c:pt idx="101">
                  <c:v>4.0640801509822007</c:v>
                </c:pt>
                <c:pt idx="102">
                  <c:v>4.1486595386196816</c:v>
                </c:pt>
                <c:pt idx="103">
                  <c:v>4.234111474872555</c:v>
                </c:pt>
                <c:pt idx="104">
                  <c:v>4.3204348594777588</c:v>
                </c:pt>
                <c:pt idx="105">
                  <c:v>4.4076285736256215</c:v>
                </c:pt>
                <c:pt idx="106">
                  <c:v>4.4956914801914651</c:v>
                </c:pt>
                <c:pt idx="107">
                  <c:v>4.584622423962041</c:v>
                </c:pt>
                <c:pt idx="108">
                  <c:v>4.6744202318569847</c:v>
                </c:pt>
                <c:pt idx="109">
                  <c:v>4.7650837131454917</c:v>
                </c:pt>
                <c:pt idx="110">
                  <c:v>4.8566116596583901</c:v>
                </c:pt>
                <c:pt idx="111">
                  <c:v>4.9490028459957847</c:v>
                </c:pt>
                <c:pt idx="112">
                  <c:v>5.0422560297304395</c:v>
                </c:pt>
                <c:pt idx="113">
                  <c:v>5.136369951607052</c:v>
                </c:pt>
                <c:pt idx="114">
                  <c:v>5.2313433357375763</c:v>
                </c:pt>
                <c:pt idx="115">
                  <c:v>5.3271748897927305</c:v>
                </c:pt>
                <c:pt idx="116">
                  <c:v>5.4238633051898324</c:v>
                </c:pt>
                <c:pt idx="117">
                  <c:v>5.5214072572770903</c:v>
                </c:pt>
                <c:pt idx="118">
                  <c:v>5.6198054055144757</c:v>
                </c:pt>
                <c:pt idx="119">
                  <c:v>5.7190563936512939</c:v>
                </c:pt>
                <c:pt idx="120">
                  <c:v>5.8191588499005746</c:v>
                </c:pt>
                <c:pt idx="121">
                  <c:v>5.9201113871103805</c:v>
                </c:pt>
                <c:pt idx="122">
                  <c:v>6.0219126029321508</c:v>
                </c:pt>
                <c:pt idx="123">
                  <c:v>6.1245610799861696</c:v>
                </c:pt>
                <c:pt idx="124">
                  <c:v>6.2280553860242582</c:v>
                </c:pt>
                <c:pt idx="125">
                  <c:v>6.3323940740897893</c:v>
                </c:pt>
                <c:pt idx="126">
                  <c:v>6.4375756826750985</c:v>
                </c:pt>
                <c:pt idx="127">
                  <c:v>6.5435987358763894</c:v>
                </c:pt>
                <c:pt idx="128">
                  <c:v>6.6504617435462059</c:v>
                </c:pt>
                <c:pt idx="129">
                  <c:v>6.7581632014435513</c:v>
                </c:pt>
                <c:pt idx="130">
                  <c:v>6.8667015913817302</c:v>
                </c:pt>
                <c:pt idx="131">
                  <c:v>6.9760753813739793</c:v>
                </c:pt>
                <c:pt idx="132">
                  <c:v>7.0862830257769609</c:v>
                </c:pt>
                <c:pt idx="133">
                  <c:v>7.1973229654321838</c:v>
                </c:pt>
                <c:pt idx="134">
                  <c:v>7.3091936278054099</c:v>
                </c:pt>
                <c:pt idx="135">
                  <c:v>7.4218934271241155</c:v>
                </c:pt>
                <c:pt idx="136">
                  <c:v>7.5354207645130558</c:v>
                </c:pt>
                <c:pt idx="137">
                  <c:v>7.6497740281279931</c:v>
                </c:pt>
                <c:pt idx="138">
                  <c:v>7.7649515932876474</c:v>
                </c:pt>
                <c:pt idx="139">
                  <c:v>7.8809518226039108</c:v>
                </c:pt>
                <c:pt idx="140">
                  <c:v>7.9977730661103816</c:v>
                </c:pt>
                <c:pt idx="141">
                  <c:v>8.1154136613892689</c:v>
                </c:pt>
                <c:pt idx="142">
                  <c:v>8.2338719336966992</c:v>
                </c:pt>
                <c:pt idx="143">
                  <c:v>8.3531461960864899</c:v>
                </c:pt>
                <c:pt idx="144">
                  <c:v>8.4732347495324181</c:v>
                </c:pt>
                <c:pt idx="145">
                  <c:v>8.5941358830490238</c:v>
                </c:pt>
                <c:pt idx="146">
                  <c:v>8.7158478738110006</c:v>
                </c:pt>
                <c:pt idx="147">
                  <c:v>8.8383689872711955</c:v>
                </c:pt>
                <c:pt idx="148">
                  <c:v>8.9616974772772657</c:v>
                </c:pt>
                <c:pt idx="149">
                  <c:v>9.0858315861870231</c:v>
                </c:pt>
                <c:pt idx="150">
                  <c:v>9.2107695449825009</c:v>
                </c:pt>
                <c:pt idx="151">
                  <c:v>9.3365096192479378</c:v>
                </c:pt>
                <c:pt idx="152">
                  <c:v>9.4630501552868669</c:v>
                </c:pt>
                <c:pt idx="153">
                  <c:v>9.5903895345337205</c:v>
                </c:pt>
                <c:pt idx="154">
                  <c:v>9.7185261278205122</c:v>
                </c:pt>
                <c:pt idx="155">
                  <c:v>9.8474582954781305</c:v>
                </c:pt>
                <c:pt idx="156">
                  <c:v>9.9771843874366208</c:v>
                </c:pt>
                <c:pt idx="157">
                  <c:v>10.10770274332446</c:v>
                </c:pt>
                <c:pt idx="158">
                  <c:v>10.23901169256686</c:v>
                </c:pt>
                <c:pt idx="159">
                  <c:v>10.371109554483125</c:v>
                </c:pt>
                <c:pt idx="160">
                  <c:v>10.503994638383066</c:v>
                </c:pt>
                <c:pt idx="161">
                  <c:v>10.637665243662525</c:v>
                </c:pt>
                <c:pt idx="162">
                  <c:v>10.772119659898001</c:v>
                </c:pt>
                <c:pt idx="163">
                  <c:v>10.90735616694041</c:v>
                </c:pt>
                <c:pt idx="164">
                  <c:v>11.043373035007999</c:v>
                </c:pt>
                <c:pt idx="165">
                  <c:v>11.180168524778423</c:v>
                </c:pt>
                <c:pt idx="166">
                  <c:v>11.317740887480026</c:v>
                </c:pt>
                <c:pt idx="167">
                  <c:v>11.456088364982305</c:v>
                </c:pt>
                <c:pt idx="168">
                  <c:v>11.595209189885619</c:v>
                </c:pt>
                <c:pt idx="169">
                  <c:v>11.735101585610114</c:v>
                </c:pt>
                <c:pt idx="170">
                  <c:v>11.875763766483917</c:v>
                </c:pt>
                <c:pt idx="171">
                  <c:v>12.0171939378306</c:v>
                </c:pt>
                <c:pt idx="172">
                  <c:v>12.159390296055905</c:v>
                </c:pt>
                <c:pt idx="173">
                  <c:v>12.302351028733801</c:v>
                </c:pt>
                <c:pt idx="174">
                  <c:v>12.446074314691813</c:v>
                </c:pt>
                <c:pt idx="175">
                  <c:v>12.590558324095712</c:v>
                </c:pt>
                <c:pt idx="176">
                  <c:v>12.73580121853351</c:v>
                </c:pt>
                <c:pt idx="177">
                  <c:v>12.881801151098825</c:v>
                </c:pt>
                <c:pt idx="178">
                  <c:v>13.028556266473597</c:v>
                </c:pt>
                <c:pt idx="179">
                  <c:v>13.176064701010178</c:v>
                </c:pt>
                <c:pt idx="180">
                  <c:v>13.324324582812803</c:v>
                </c:pt>
                <c:pt idx="181">
                  <c:v>13.473334031818462</c:v>
                </c:pt>
                <c:pt idx="182">
                  <c:v>13.623091159877166</c:v>
                </c:pt>
                <c:pt idx="183">
                  <c:v>13.773594070831635</c:v>
                </c:pt>
                <c:pt idx="184">
                  <c:v>13.924840860596404</c:v>
                </c:pt>
                <c:pt idx="185">
                  <c:v>14.07682961723637</c:v>
                </c:pt>
                <c:pt idx="186">
                  <c:v>14.229558421044775</c:v>
                </c:pt>
                <c:pt idx="187">
                  <c:v>14.383025344620636</c:v>
                </c:pt>
                <c:pt idx="188">
                  <c:v>14.537228452945648</c:v>
                </c:pt>
                <c:pt idx="189">
                  <c:v>14.692165803460544</c:v>
                </c:pt>
                <c:pt idx="190">
                  <c:v>14.847835446140934</c:v>
                </c:pt>
                <c:pt idx="191">
                  <c:v>15.004235423572625</c:v>
                </c:pt>
                <c:pt idx="192">
                  <c:v>15.161363771026439</c:v>
                </c:pt>
                <c:pt idx="193">
                  <c:v>15.319218516532514</c:v>
                </c:pt>
                <c:pt idx="194">
                  <c:v>15.477797680954133</c:v>
                </c:pt>
                <c:pt idx="195">
                  <c:v>15.63709927806104</c:v>
                </c:pt>
                <c:pt idx="196">
                  <c:v>15.797121314602293</c:v>
                </c:pt>
                <c:pt idx="197">
                  <c:v>15.957861790378631</c:v>
                </c:pt>
                <c:pt idx="198">
                  <c:v>16.119318698314373</c:v>
                </c:pt>
                <c:pt idx="199">
                  <c:v>16.281490024528864</c:v>
                </c:pt>
                <c:pt idx="200">
                  <c:v>16.44437374840744</c:v>
                </c:pt>
                <c:pt idx="201">
                  <c:v>16.607967842671968</c:v>
                </c:pt>
                <c:pt idx="202">
                  <c:v>16.772270273450921</c:v>
                </c:pt>
                <c:pt idx="203">
                  <c:v>16.937279000349019</c:v>
                </c:pt>
                <c:pt idx="204">
                  <c:v>17.102991976516424</c:v>
                </c:pt>
                <c:pt idx="205">
                  <c:v>17.269407148717523</c:v>
                </c:pt>
                <c:pt idx="206">
                  <c:v>17.43652245739926</c:v>
                </c:pt>
                <c:pt idx="207">
                  <c:v>17.604335836759059</c:v>
                </c:pt>
                <c:pt idx="208">
                  <c:v>17.772845214812328</c:v>
                </c:pt>
                <c:pt idx="209">
                  <c:v>17.942048513459547</c:v>
                </c:pt>
                <c:pt idx="210">
                  <c:v>18.111943648552945</c:v>
                </c:pt>
                <c:pt idx="211">
                  <c:v>18.282528529962775</c:v>
                </c:pt>
                <c:pt idx="212">
                  <c:v>18.453801061643183</c:v>
                </c:pt>
                <c:pt idx="213">
                  <c:v>18.625759141697678</c:v>
                </c:pt>
                <c:pt idx="214">
                  <c:v>18.798400662444216</c:v>
                </c:pt>
                <c:pt idx="215">
                  <c:v>18.971723510479883</c:v>
                </c:pt>
                <c:pt idx="216">
                  <c:v>19.145725566745195</c:v>
                </c:pt>
                <c:pt idx="217">
                  <c:v>19.320404706588011</c:v>
                </c:pt>
                <c:pt idx="218">
                  <c:v>19.495758799827069</c:v>
                </c:pt>
                <c:pt idx="219">
                  <c:v>19.671785710815143</c:v>
                </c:pt>
                <c:pt idx="220">
                  <c:v>19.848483298501819</c:v>
                </c:pt>
                <c:pt idx="221">
                  <c:v>20.025849416495909</c:v>
                </c:pt>
                <c:pt idx="222">
                  <c:v>20.203881913127486</c:v>
                </c:pt>
                <c:pt idx="223">
                  <c:v>20.382578631509556</c:v>
                </c:pt>
                <c:pt idx="224">
                  <c:v>20.56193740959937</c:v>
                </c:pt>
                <c:pt idx="225">
                  <c:v>20.741956080259364</c:v>
                </c:pt>
                <c:pt idx="226">
                  <c:v>20.922632471317758</c:v>
                </c:pt>
                <c:pt idx="227">
                  <c:v>21.103964405628776</c:v>
                </c:pt>
                <c:pt idx="228">
                  <c:v>21.28594970113253</c:v>
                </c:pt>
                <c:pt idx="229">
                  <c:v>21.468586170914538</c:v>
                </c:pt>
                <c:pt idx="230">
                  <c:v>21.651871623264906</c:v>
                </c:pt>
                <c:pt idx="231">
                  <c:v>21.835803861737155</c:v>
                </c:pt>
                <c:pt idx="232">
                  <c:v>22.020380685206696</c:v>
                </c:pt>
                <c:pt idx="233">
                  <c:v>22.205599887928976</c:v>
                </c:pt>
                <c:pt idx="234">
                  <c:v>22.391459259597266</c:v>
                </c:pt>
                <c:pt idx="235">
                  <c:v>22.577956585400123</c:v>
                </c:pt>
                <c:pt idx="236">
                  <c:v>22.765089646078511</c:v>
                </c:pt>
                <c:pt idx="237">
                  <c:v>22.952856217982575</c:v>
                </c:pt>
                <c:pt idx="238">
                  <c:v>23.141254073128092</c:v>
                </c:pt>
                <c:pt idx="239">
                  <c:v>23.330280979252581</c:v>
                </c:pt>
                <c:pt idx="240">
                  <c:v>23.519934699871097</c:v>
                </c:pt>
                <c:pt idx="241">
                  <c:v>23.710212994331673</c:v>
                </c:pt>
                <c:pt idx="242">
                  <c:v>23.90111361787045</c:v>
                </c:pt>
                <c:pt idx="243">
                  <c:v>24.092634321666473</c:v>
                </c:pt>
                <c:pt idx="244">
                  <c:v>24.284772852896165</c:v>
                </c:pt>
                <c:pt idx="245">
                  <c:v>24.477526954787471</c:v>
                </c:pt>
                <c:pt idx="246">
                  <c:v>24.670894366673693</c:v>
                </c:pt>
                <c:pt idx="247">
                  <c:v>24.864872824046987</c:v>
                </c:pt>
                <c:pt idx="248">
                  <c:v>25.059460058611553</c:v>
                </c:pt>
                <c:pt idx="249">
                  <c:v>25.254653798336495</c:v>
                </c:pt>
                <c:pt idx="250">
                  <c:v>25.450451767508376</c:v>
                </c:pt>
                <c:pt idx="251">
                  <c:v>25.646851475231617</c:v>
                </c:pt>
                <c:pt idx="252">
                  <c:v>25.843850003620119</c:v>
                </c:pt>
                <c:pt idx="253">
                  <c:v>26.041444219164898</c:v>
                </c:pt>
                <c:pt idx="254">
                  <c:v>26.239630984419588</c:v>
                </c:pt>
                <c:pt idx="255">
                  <c:v>26.438407158070671</c:v>
                </c:pt>
                <c:pt idx="256">
                  <c:v>26.637769595007228</c:v>
                </c:pt>
                <c:pt idx="257">
                  <c:v>26.837715146390163</c:v>
                </c:pt>
                <c:pt idx="258">
                  <c:v>27.038240659720913</c:v>
                </c:pt>
                <c:pt idx="259">
                  <c:v>27.239342978909669</c:v>
                </c:pt>
                <c:pt idx="260">
                  <c:v>27.441018944343089</c:v>
                </c:pt>
                <c:pt idx="261">
                  <c:v>27.643265392951506</c:v>
                </c:pt>
                <c:pt idx="262">
                  <c:v>27.846079158275632</c:v>
                </c:pt>
                <c:pt idx="263">
                  <c:v>28.049457070532778</c:v>
                </c:pt>
                <c:pt idx="264">
                  <c:v>28.253395956682557</c:v>
                </c:pt>
                <c:pt idx="265">
                  <c:v>28.457892640492098</c:v>
                </c:pt>
                <c:pt idx="266">
                  <c:v>28.662943942600776</c:v>
                </c:pt>
                <c:pt idx="267">
                  <c:v>28.868546680584441</c:v>
                </c:pt>
                <c:pt idx="268">
                  <c:v>29.074697669019141</c:v>
                </c:pt>
                <c:pt idx="269">
                  <c:v>29.281393719544379</c:v>
                </c:pt>
                <c:pt idx="270">
                  <c:v>29.48863164092587</c:v>
                </c:pt>
                <c:pt idx="271">
                  <c:v>29.696408239117801</c:v>
                </c:pt>
                <c:pt idx="272">
                  <c:v>29.904720317324621</c:v>
                </c:pt>
                <c:pt idx="273">
                  <c:v>30.113564676062332</c:v>
                </c:pt>
                <c:pt idx="274">
                  <c:v>30.322938113219301</c:v>
                </c:pt>
                <c:pt idx="275">
                  <c:v>30.532837424116597</c:v>
                </c:pt>
                <c:pt idx="276">
                  <c:v>30.743259401567826</c:v>
                </c:pt>
                <c:pt idx="277">
                  <c:v>30.954200835938508</c:v>
                </c:pt>
                <c:pt idx="278">
                  <c:v>31.16565851520496</c:v>
                </c:pt>
                <c:pt idx="279">
                  <c:v>31.377629225012711</c:v>
                </c:pt>
                <c:pt idx="280">
                  <c:v>31.590109748734424</c:v>
                </c:pt>
                <c:pt idx="281">
                  <c:v>31.803096867527362</c:v>
                </c:pt>
                <c:pt idx="282">
                  <c:v>32.016587360390368</c:v>
                </c:pt>
                <c:pt idx="283">
                  <c:v>32.230578004220376</c:v>
                </c:pt>
                <c:pt idx="284">
                  <c:v>32.44506557386844</c:v>
                </c:pt>
                <c:pt idx="285">
                  <c:v>32.660046842195314</c:v>
                </c:pt>
                <c:pt idx="286">
                  <c:v>32.875518580126524</c:v>
                </c:pt>
                <c:pt idx="287">
                  <c:v>33.091477556707012</c:v>
                </c:pt>
                <c:pt idx="288">
                  <c:v>33.307920539155297</c:v>
                </c:pt>
                <c:pt idx="289">
                  <c:v>33.524844292917152</c:v>
                </c:pt>
                <c:pt idx="290">
                  <c:v>33.742245581718841</c:v>
                </c:pt>
                <c:pt idx="291">
                  <c:v>33.960121167619874</c:v>
                </c:pt>
                <c:pt idx="292">
                  <c:v>34.178467811065318</c:v>
                </c:pt>
                <c:pt idx="293">
                  <c:v>34.397282270937616</c:v>
                </c:pt>
                <c:pt idx="294">
                  <c:v>34.616561304607977</c:v>
                </c:pt>
                <c:pt idx="295">
                  <c:v>34.836301667987271</c:v>
                </c:pt>
                <c:pt idx="296">
                  <c:v>35.056500115576512</c:v>
                </c:pt>
                <c:pt idx="297">
                  <c:v>35.277153400516831</c:v>
                </c:pt>
                <c:pt idx="298">
                  <c:v>35.498255893980655</c:v>
                </c:pt>
                <c:pt idx="299">
                  <c:v>35.719797202448596</c:v>
                </c:pt>
                <c:pt idx="300">
                  <c:v>35.941764547963885</c:v>
                </c:pt>
                <c:pt idx="301">
                  <c:v>36.164145150643044</c:v>
                </c:pt>
                <c:pt idx="302">
                  <c:v>36.38692622900674</c:v>
                </c:pt>
                <c:pt idx="303">
                  <c:v>36.610095000305066</c:v>
                </c:pt>
                <c:pt idx="304">
                  <c:v>36.833638680837275</c:v>
                </c:pt>
                <c:pt idx="305">
                  <c:v>37.057544486265947</c:v>
                </c:pt>
                <c:pt idx="306">
                  <c:v>37.281799631925587</c:v>
                </c:pt>
                <c:pt idx="307">
                  <c:v>37.506391333125727</c:v>
                </c:pt>
                <c:pt idx="308">
                  <c:v>37.731306805448469</c:v>
                </c:pt>
                <c:pt idx="309">
                  <c:v>37.956533265040505</c:v>
                </c:pt>
                <c:pt idx="310">
                  <c:v>38.18205792889966</c:v>
                </c:pt>
                <c:pt idx="311">
                  <c:v>38.407868015155891</c:v>
                </c:pt>
                <c:pt idx="312">
                  <c:v>38.633950743346837</c:v>
                </c:pt>
                <c:pt idx="313">
                  <c:v>38.860293334687853</c:v>
                </c:pt>
                <c:pt idx="314">
                  <c:v>39.086883012336621</c:v>
                </c:pt>
                <c:pt idx="315">
                  <c:v>39.31370700165224</c:v>
                </c:pt>
                <c:pt idx="316">
                  <c:v>39.540752530448927</c:v>
                </c:pt>
                <c:pt idx="317">
                  <c:v>39.768006829244221</c:v>
                </c:pt>
                <c:pt idx="318">
                  <c:v>39.995457131501823</c:v>
                </c:pt>
                <c:pt idx="319">
                  <c:v>40.223090673868946</c:v>
                </c:pt>
                <c:pt idx="320">
                  <c:v>40.450894696408319</c:v>
                </c:pt>
                <c:pt idx="321">
                  <c:v>40.678857400484972</c:v>
                </c:pt>
                <c:pt idx="322">
                  <c:v>40.906968906942069</c:v>
                </c:pt>
                <c:pt idx="323">
                  <c:v>41.135220297996042</c:v>
                </c:pt>
                <c:pt idx="324">
                  <c:v>41.363602658779257</c:v>
                </c:pt>
                <c:pt idx="325">
                  <c:v>41.592107077441234</c:v>
                </c:pt>
                <c:pt idx="326">
                  <c:v>41.820724645247175</c:v>
                </c:pt>
                <c:pt idx="327">
                  <c:v>42.049446456673941</c:v>
                </c:pt>
                <c:pt idx="328">
                  <c:v>42.278263609503362</c:v>
                </c:pt>
                <c:pt idx="329">
                  <c:v>42.507167204912982</c:v>
                </c:pt>
                <c:pt idx="330">
                  <c:v>42.736148347564175</c:v>
                </c:pt>
                <c:pt idx="331">
                  <c:v>42.96519814568768</c:v>
                </c:pt>
                <c:pt idx="332">
                  <c:v>43.194307711166566</c:v>
                </c:pt>
                <c:pt idx="333">
                  <c:v>43.423468159616597</c:v>
                </c:pt>
                <c:pt idx="334">
                  <c:v>43.652670610464043</c:v>
                </c:pt>
                <c:pt idx="335">
                  <c:v>43.881906187020896</c:v>
                </c:pt>
                <c:pt idx="336">
                  <c:v>44.111166016557583</c:v>
                </c:pt>
                <c:pt idx="337">
                  <c:v>44.340441230373074</c:v>
                </c:pt>
                <c:pt idx="338">
                  <c:v>44.569722963862475</c:v>
                </c:pt>
                <c:pt idx="339">
                  <c:v>44.799002356582079</c:v>
                </c:pt>
                <c:pt idx="340">
                  <c:v>45.028270552311888</c:v>
                </c:pt>
                <c:pt idx="341">
                  <c:v>45.257518699115586</c:v>
                </c:pt>
                <c:pt idx="342">
                  <c:v>45.486737949398041</c:v>
                </c:pt>
                <c:pt idx="343">
                  <c:v>45.71591945996024</c:v>
                </c:pt>
                <c:pt idx="344">
                  <c:v>45.945054392051766</c:v>
                </c:pt>
                <c:pt idx="345">
                  <c:v>46.174133911420739</c:v>
                </c:pt>
                <c:pt idx="346">
                  <c:v>46.403149188361304</c:v>
                </c:pt>
                <c:pt idx="347">
                  <c:v>46.632091397758572</c:v>
                </c:pt>
                <c:pt idx="348">
                  <c:v>46.860951823792334</c:v>
                </c:pt>
                <c:pt idx="349">
                  <c:v>47.089721964631089</c:v>
                </c:pt>
                <c:pt idx="350">
                  <c:v>47.31839342768005</c:v>
                </c:pt>
                <c:pt idx="351">
                  <c:v>47.546957824830905</c:v>
                </c:pt>
                <c:pt idx="352">
                  <c:v>47.775406772488651</c:v>
                </c:pt>
                <c:pt idx="353">
                  <c:v>48.003731891596175</c:v>
                </c:pt>
                <c:pt idx="354">
                  <c:v>48.231924807656625</c:v>
                </c:pt>
                <c:pt idx="355">
                  <c:v>48.459977150753573</c:v>
                </c:pt>
                <c:pt idx="356">
                  <c:v>48.687880555568974</c:v>
                </c:pt>
                <c:pt idx="357">
                  <c:v>48.915626661398917</c:v>
                </c:pt>
                <c:pt idx="358">
                  <c:v>49.143207112167168</c:v>
                </c:pt>
                <c:pt idx="359">
                  <c:v>49.370613556436524</c:v>
                </c:pt>
                <c:pt idx="360">
                  <c:v>49.597839837142537</c:v>
                </c:pt>
                <c:pt idx="361">
                  <c:v>49.824884180923966</c:v>
                </c:pt>
                <c:pt idx="362">
                  <c:v>50.051747005410739</c:v>
                </c:pt>
                <c:pt idx="363">
                  <c:v>50.2784287269129</c:v>
                </c:pt>
                <c:pt idx="364">
                  <c:v>50.504929760426357</c:v>
                </c:pt>
                <c:pt idx="365">
                  <c:v>50.7312505196386</c:v>
                </c:pt>
                <c:pt idx="366">
                  <c:v>50.957391416934385</c:v>
                </c:pt>
                <c:pt idx="367">
                  <c:v>51.183352863401382</c:v>
                </c:pt>
                <c:pt idx="368">
                  <c:v>51.409135268835797</c:v>
                </c:pt>
                <c:pt idx="369">
                  <c:v>51.634739041747949</c:v>
                </c:pt>
                <c:pt idx="370">
                  <c:v>51.860164589367855</c:v>
                </c:pt>
                <c:pt idx="371">
                  <c:v>52.08541231765075</c:v>
                </c:pt>
                <c:pt idx="372">
                  <c:v>52.310482631282568</c:v>
                </c:pt>
                <c:pt idx="373">
                  <c:v>52.535375933685437</c:v>
                </c:pt>
                <c:pt idx="374">
                  <c:v>52.760092627023113</c:v>
                </c:pt>
                <c:pt idx="375">
                  <c:v>52.984633112206396</c:v>
                </c:pt>
                <c:pt idx="376">
                  <c:v>53.208997788898486</c:v>
                </c:pt>
                <c:pt idx="377">
                  <c:v>53.433187055520385</c:v>
                </c:pt>
                <c:pt idx="378">
                  <c:v>53.657201309256173</c:v>
                </c:pt>
                <c:pt idx="379">
                  <c:v>53.881040946058327</c:v>
                </c:pt>
                <c:pt idx="380">
                  <c:v>54.104706360653005</c:v>
                </c:pt>
                <c:pt idx="381">
                  <c:v>54.328197946545252</c:v>
                </c:pt>
                <c:pt idx="382">
                  <c:v>54.55151609602423</c:v>
                </c:pt>
                <c:pt idx="383">
                  <c:v>54.77466120016841</c:v>
                </c:pt>
                <c:pt idx="384">
                  <c:v>54.997633648850709</c:v>
                </c:pt>
                <c:pt idx="385">
                  <c:v>55.220433830743637</c:v>
                </c:pt>
                <c:pt idx="386">
                  <c:v>55.443062133324382</c:v>
                </c:pt>
                <c:pt idx="387">
                  <c:v>55.665518942879906</c:v>
                </c:pt>
                <c:pt idx="388">
                  <c:v>55.887804644511967</c:v>
                </c:pt>
                <c:pt idx="389">
                  <c:v>56.109919622142158</c:v>
                </c:pt>
                <c:pt idx="390">
                  <c:v>56.331864258516902</c:v>
                </c:pt>
                <c:pt idx="391">
                  <c:v>56.553638935212412</c:v>
                </c:pt>
                <c:pt idx="392">
                  <c:v>56.775244032639627</c:v>
                </c:pt>
                <c:pt idx="393">
                  <c:v>56.996679930049147</c:v>
                </c:pt>
                <c:pt idx="394">
                  <c:v>57.217947005536104</c:v>
                </c:pt>
                <c:pt idx="395">
                  <c:v>57.43904563604503</c:v>
                </c:pt>
                <c:pt idx="396">
                  <c:v>57.659976197374711</c:v>
                </c:pt>
                <c:pt idx="397">
                  <c:v>57.880739064182983</c:v>
                </c:pt>
                <c:pt idx="398">
                  <c:v>58.101334609991525</c:v>
                </c:pt>
                <c:pt idx="399">
                  <c:v>58.321763207190614</c:v>
                </c:pt>
                <c:pt idx="400">
                  <c:v>58.542025227043879</c:v>
                </c:pt>
                <c:pt idx="401">
                  <c:v>60.735512344941007</c:v>
                </c:pt>
                <c:pt idx="402">
                  <c:v>62.91258035578187</c:v>
                </c:pt>
                <c:pt idx="403">
                  <c:v>65.073590084563108</c:v>
                </c:pt>
                <c:pt idx="404">
                  <c:v>67.21889169143941</c:v>
                </c:pt>
                <c:pt idx="405">
                  <c:v>69.348825104925652</c:v>
                </c:pt>
                <c:pt idx="406">
                  <c:v>71.463720433302456</c:v>
                </c:pt>
                <c:pt idx="407">
                  <c:v>73.563898355537631</c:v>
                </c:pt>
                <c:pt idx="408">
                  <c:v>75.649670492944267</c:v>
                </c:pt>
                <c:pt idx="409">
                  <c:v>77.721339762712063</c:v>
                </c:pt>
                <c:pt idx="410">
                  <c:v>79.779200714370504</c:v>
                </c:pt>
                <c:pt idx="411">
                  <c:v>81.823539850170846</c:v>
                </c:pt>
                <c:pt idx="412">
                  <c:v>83.854635930307737</c:v>
                </c:pt>
                <c:pt idx="413">
                  <c:v>85.872760263839936</c:v>
                </c:pt>
                <c:pt idx="414">
                  <c:v>87.878176986113274</c:v>
                </c:pt>
                <c:pt idx="415">
                  <c:v>89.871143323436513</c:v>
                </c:pt>
                <c:pt idx="416">
                  <c:v>91.851909845712328</c:v>
                </c:pt>
                <c:pt idx="417">
                  <c:v>93.82072070768082</c:v>
                </c:pt>
                <c:pt idx="418">
                  <c:v>95.777813879391289</c:v>
                </c:pt>
                <c:pt idx="419">
                  <c:v>97.723421366479187</c:v>
                </c:pt>
                <c:pt idx="420">
                  <c:v>99.657769420789606</c:v>
                </c:pt>
                <c:pt idx="421">
                  <c:v>101.58107874185501</c:v>
                </c:pt>
                <c:pt idx="422">
                  <c:v>103.49356466970399</c:v>
                </c:pt>
                <c:pt idx="423">
                  <c:v>105.39543736944908</c:v>
                </c:pt>
                <c:pt idx="424">
                  <c:v>107.28690200807463</c:v>
                </c:pt>
                <c:pt idx="425">
                  <c:v>109.16815892382061</c:v>
                </c:pt>
                <c:pt idx="426">
                  <c:v>111.03940378853518</c:v>
                </c:pt>
                <c:pt idx="427">
                  <c:v>112.90082776334674</c:v>
                </c:pt>
                <c:pt idx="428">
                  <c:v>114.75261764798601</c:v>
                </c:pt>
                <c:pt idx="429">
                  <c:v>116.59495602406962</c:v>
                </c:pt>
                <c:pt idx="430">
                  <c:v>118.4280213926388</c:v>
                </c:pt>
                <c:pt idx="431">
                  <c:v>120.25198830623054</c:v>
                </c:pt>
                <c:pt idx="432">
                  <c:v>122.06702749574252</c:v>
                </c:pt>
                <c:pt idx="433">
                  <c:v>123.87330599233889</c:v>
                </c:pt>
                <c:pt idx="434">
                  <c:v>125.67098724463017</c:v>
                </c:pt>
                <c:pt idx="435">
                  <c:v>127.46023123134808</c:v>
                </c:pt>
                <c:pt idx="436">
                  <c:v>129.2411945697234</c:v>
                </c:pt>
                <c:pt idx="437">
                  <c:v>131.01403061976455</c:v>
                </c:pt>
                <c:pt idx="438">
                  <c:v>132.77888958462347</c:v>
                </c:pt>
                <c:pt idx="439">
                  <c:v>134.53591860722543</c:v>
                </c:pt>
                <c:pt idx="440">
                  <c:v>136.28526186333053</c:v>
                </c:pt>
                <c:pt idx="441">
                  <c:v>138.02706065118531</c:v>
                </c:pt>
                <c:pt idx="442">
                  <c:v>139.7614534779149</c:v>
                </c:pt>
                <c:pt idx="443">
                  <c:v>141.48857614279845</c:v>
                </c:pt>
                <c:pt idx="444">
                  <c:v>143.20856181756298</c:v>
                </c:pt>
                <c:pt idx="445">
                  <c:v>144.92154112382406</c:v>
                </c:pt>
                <c:pt idx="446">
                  <c:v>146.62764220779533</c:v>
                </c:pt>
                <c:pt idx="447">
                  <c:v>148.32699081238229</c:v>
                </c:pt>
                <c:pt idx="448">
                  <c:v>150.01971034677047</c:v>
                </c:pt>
                <c:pt idx="449">
                  <c:v>151.7059219536124</c:v>
                </c:pt>
                <c:pt idx="450">
                  <c:v>153.3857445739124</c:v>
                </c:pt>
                <c:pt idx="451">
                  <c:v>155.05929500970379</c:v>
                </c:pt>
                <c:pt idx="452">
                  <c:v>156.72668798460791</c:v>
                </c:pt>
                <c:pt idx="453">
                  <c:v>158.3880362023605</c:v>
                </c:pt>
                <c:pt idx="454">
                  <c:v>160.04345040338646</c:v>
                </c:pt>
                <c:pt idx="455">
                  <c:v>161.69303941949997</c:v>
                </c:pt>
                <c:pt idx="456">
                  <c:v>163.33691022680367</c:v>
                </c:pt>
                <c:pt idx="457">
                  <c:v>164.97516799685656</c:v>
                </c:pt>
                <c:pt idx="458">
                  <c:v>166.60791614617716</c:v>
                </c:pt>
                <c:pt idx="459">
                  <c:v>168.23525638414506</c:v>
                </c:pt>
                <c:pt idx="460">
                  <c:v>169.85728875936113</c:v>
                </c:pt>
                <c:pt idx="461">
                  <c:v>171.47411170452349</c:v>
                </c:pt>
                <c:pt idx="462">
                  <c:v>173.08582207987394</c:v>
                </c:pt>
                <c:pt idx="463">
                  <c:v>174.69251521526607</c:v>
                </c:pt>
                <c:pt idx="464">
                  <c:v>176.29428495090494</c:v>
                </c:pt>
                <c:pt idx="465">
                  <c:v>177.89122367680432</c:v>
                </c:pt>
                <c:pt idx="466">
                  <c:v>179.48342237100653</c:v>
                </c:pt>
                <c:pt idx="467">
                  <c:v>181.07097063660649</c:v>
                </c:pt>
                <c:pt idx="468">
                  <c:v>182.65395673762012</c:v>
                </c:pt>
                <c:pt idx="469">
                  <c:v>184.23246763373481</c:v>
                </c:pt>
                <c:pt idx="470">
                  <c:v>185.8065890139776</c:v>
                </c:pt>
                <c:pt idx="471">
                  <c:v>187.37640532933503</c:v>
                </c:pt>
                <c:pt idx="472">
                  <c:v>188.94199982435612</c:v>
                </c:pt>
                <c:pt idx="473">
                  <c:v>190.50345456776856</c:v>
                </c:pt>
                <c:pt idx="474">
                  <c:v>192.06085048213603</c:v>
                </c:pt>
                <c:pt idx="475">
                  <c:v>193.61426737258276</c:v>
                </c:pt>
                <c:pt idx="476">
                  <c:v>195.1637839546097</c:v>
                </c:pt>
                <c:pt idx="477">
                  <c:v>196.70947788102455</c:v>
                </c:pt>
                <c:pt idx="478">
                  <c:v>198.2514257680067</c:v>
                </c:pt>
                <c:pt idx="479">
                  <c:v>199.78970322032529</c:v>
                </c:pt>
                <c:pt idx="480">
                  <c:v>201.32438485572789</c:v>
                </c:pt>
                <c:pt idx="481">
                  <c:v>202.85554432851441</c:v>
                </c:pt>
                <c:pt idx="482">
                  <c:v>204.38325435230945</c:v>
                </c:pt>
                <c:pt idx="483">
                  <c:v>205.90758672204407</c:v>
                </c:pt>
                <c:pt idx="484">
                  <c:v>207.42861233515615</c:v>
                </c:pt>
                <c:pt idx="485">
                  <c:v>208.94640121201564</c:v>
                </c:pt>
                <c:pt idx="486">
                  <c:v>210.46102251557969</c:v>
                </c:pt>
                <c:pt idx="487">
                  <c:v>211.97254457027921</c:v>
                </c:pt>
                <c:pt idx="488">
                  <c:v>213.48103488013666</c:v>
                </c:pt>
                <c:pt idx="489">
                  <c:v>214.98656014611117</c:v>
                </c:pt>
                <c:pt idx="490">
                  <c:v>216.48918628266526</c:v>
                </c:pt>
                <c:pt idx="491">
                  <c:v>217.9889784335428</c:v>
                </c:pt>
                <c:pt idx="492">
                  <c:v>219.48600098674535</c:v>
                </c:pt>
                <c:pt idx="493">
                  <c:v>220.9803175886897</c:v>
                </c:pt>
                <c:pt idx="494">
                  <c:v>222.471991157525</c:v>
                </c:pt>
                <c:pt idx="495">
                  <c:v>223.96108389558324</c:v>
                </c:pt>
                <c:pt idx="496">
                  <c:v>225.44765730093172</c:v>
                </c:pt>
                <c:pt idx="497">
                  <c:v>226.93177217798976</c:v>
                </c:pt>
                <c:pt idx="498">
                  <c:v>228.41348864716582</c:v>
                </c:pt>
                <c:pt idx="499">
                  <c:v>229.89286615346353</c:v>
                </c:pt>
                <c:pt idx="500">
                  <c:v>231.36996347399662</c:v>
                </c:pt>
                <c:pt idx="501">
                  <c:v>232.84483872434376</c:v>
                </c:pt>
                <c:pt idx="502">
                  <c:v>234.31754936366295</c:v>
                </c:pt>
                <c:pt idx="503">
                  <c:v>235.78815219847399</c:v>
                </c:pt>
                <c:pt idx="504">
                  <c:v>237.25670338500277</c:v>
                </c:pt>
                <c:pt idx="505">
                  <c:v>238.72325842996617</c:v>
                </c:pt>
                <c:pt idx="506">
                  <c:v>240.18787218965858</c:v>
                </c:pt>
                <c:pt idx="507">
                  <c:v>241.65059886718007</c:v>
                </c:pt>
                <c:pt idx="508">
                  <c:v>243.11149200762412</c:v>
                </c:pt>
                <c:pt idx="509">
                  <c:v>244.57060449101553</c:v>
                </c:pt>
                <c:pt idx="510">
                  <c:v>246.02798852275947</c:v>
                </c:pt>
                <c:pt idx="511">
                  <c:v>247.48369562132865</c:v>
                </c:pt>
                <c:pt idx="512">
                  <c:v>248.937776602876</c:v>
                </c:pt>
                <c:pt idx="513">
                  <c:v>250.3902815624171</c:v>
                </c:pt>
                <c:pt idx="514">
                  <c:v>251.84125985117649</c:v>
                </c:pt>
                <c:pt idx="515">
                  <c:v>253.2907600496365</c:v>
                </c:pt>
                <c:pt idx="516">
                  <c:v>254.73882993576635</c:v>
                </c:pt>
                <c:pt idx="517">
                  <c:v>256.18551644784094</c:v>
                </c:pt>
                <c:pt idx="518">
                  <c:v>257.6308656411872</c:v>
                </c:pt>
                <c:pt idx="519">
                  <c:v>259.07492263811861</c:v>
                </c:pt>
                <c:pt idx="520">
                  <c:v>260.51773157024206</c:v>
                </c:pt>
                <c:pt idx="521">
                  <c:v>261.95933551224743</c:v>
                </c:pt>
                <c:pt idx="522">
                  <c:v>263.39977640622635</c:v>
                </c:pt>
                <c:pt idx="523">
                  <c:v>264.83909497552361</c:v>
                </c:pt>
                <c:pt idx="524">
                  <c:v>266.27733062711684</c:v>
                </c:pt>
                <c:pt idx="525">
                  <c:v>267.71452134156476</c:v>
                </c:pt>
                <c:pt idx="526">
                  <c:v>269.15070354969095</c:v>
                </c:pt>
                <c:pt idx="527">
                  <c:v>270.58591199540757</c:v>
                </c:pt>
                <c:pt idx="528">
                  <c:v>272.02017958447249</c:v>
                </c:pt>
                <c:pt idx="529">
                  <c:v>273.45353721954996</c:v>
                </c:pt>
                <c:pt idx="530">
                  <c:v>274.8860136227521</c:v>
                </c:pt>
                <c:pt idx="531">
                  <c:v>276.31763514788724</c:v>
                </c:pt>
                <c:pt idx="532">
                  <c:v>277.74842558593105</c:v>
                </c:pt>
                <c:pt idx="533">
                  <c:v>279.17840596869655</c:v>
                </c:pt>
                <c:pt idx="534">
                  <c:v>280.60759437718707</c:v>
                </c:pt>
                <c:pt idx="535">
                  <c:v>282.03600576245748</c:v>
                </c:pt>
                <c:pt idx="536">
                  <c:v>283.46365178772339</c:v>
                </c:pt>
                <c:pt idx="537">
                  <c:v>284.89054070065004</c:v>
                </c:pt>
                <c:pt idx="538">
                  <c:v>286.3166772440012</c:v>
                </c:pt>
                <c:pt idx="539">
                  <c:v>287.74206261104484</c:v>
                </c:pt>
                <c:pt idx="540">
                  <c:v>289.1666944494242</c:v>
                </c:pt>
                <c:pt idx="541">
                  <c:v>290.59056691395062</c:v>
                </c:pt>
                <c:pt idx="542">
                  <c:v>292.01367076544869</c:v>
                </c:pt>
                <c:pt idx="543">
                  <c:v>293.43599350989132</c:v>
                </c:pt>
                <c:pt idx="544">
                  <c:v>294.85751957000082</c:v>
                </c:pt>
                <c:pt idx="545">
                  <c:v>296.27823048045065</c:v>
                </c:pt>
                <c:pt idx="546">
                  <c:v>297.69810509775363</c:v>
                </c:pt>
                <c:pt idx="547">
                  <c:v>299.11711981667162</c:v>
                </c:pt>
                <c:pt idx="548">
                  <c:v>300.53524878624432</c:v>
                </c:pt>
                <c:pt idx="549">
                  <c:v>301.95246412003331</c:v>
                </c:pt>
                <c:pt idx="550">
                  <c:v>303.36873609668123</c:v>
                </c:pt>
                <c:pt idx="551">
                  <c:v>304.78403334824128</c:v>
                </c:pt>
                <c:pt idx="552">
                  <c:v>306.19832303485998</c:v>
                </c:pt>
                <c:pt idx="553">
                  <c:v>307.61157100527322</c:v>
                </c:pt>
                <c:pt idx="554">
                  <c:v>309.0237419432159</c:v>
                </c:pt>
                <c:pt idx="555">
                  <c:v>310.43479950028222</c:v>
                </c:pt>
                <c:pt idx="556">
                  <c:v>311.8447064160485</c:v>
                </c:pt>
                <c:pt idx="557">
                  <c:v>313.25342462642072</c:v>
                </c:pt>
                <c:pt idx="558">
                  <c:v>314.66091536123264</c:v>
                </c:pt>
                <c:pt idx="559">
                  <c:v>316.06713923211993</c:v>
                </c:pt>
                <c:pt idx="560">
                  <c:v>317.47205631165997</c:v>
                </c:pt>
                <c:pt idx="561">
                  <c:v>318.87562620470368</c:v>
                </c:pt>
                <c:pt idx="562">
                  <c:v>320.27780811275272</c:v>
                </c:pt>
                <c:pt idx="563">
                  <c:v>321.67856089215644</c:v>
                </c:pt>
                <c:pt idx="564">
                  <c:v>323.07784310682456</c:v>
                </c:pt>
                <c:pt idx="565">
                  <c:v>324.47561307607668</c:v>
                </c:pt>
                <c:pt idx="566">
                  <c:v>325.87182891817957</c:v>
                </c:pt>
                <c:pt idx="567">
                  <c:v>327.26644859005893</c:v>
                </c:pt>
                <c:pt idx="568">
                  <c:v>328.65942992361562</c:v>
                </c:pt>
                <c:pt idx="569">
                  <c:v>330.05073065902343</c:v>
                </c:pt>
                <c:pt idx="570">
                  <c:v>331.44030847534054</c:v>
                </c:pt>
                <c:pt idx="571">
                  <c:v>332.82812101872673</c:v>
                </c:pt>
                <c:pt idx="572">
                  <c:v>334.21412592852158</c:v>
                </c:pt>
                <c:pt idx="573">
                  <c:v>335.59828086140959</c:v>
                </c:pt>
                <c:pt idx="574">
                  <c:v>336.98054351386895</c:v>
                </c:pt>
                <c:pt idx="575">
                  <c:v>338.36087164307884</c:v>
                </c:pt>
                <c:pt idx="576">
                  <c:v>339.73922308643768</c:v>
                </c:pt>
                <c:pt idx="577">
                  <c:v>341.1155557798275</c:v>
                </c:pt>
                <c:pt idx="578">
                  <c:v>342.48982777474356</c:v>
                </c:pt>
                <c:pt idx="579">
                  <c:v>343.86199725439417</c:v>
                </c:pt>
                <c:pt idx="580">
                  <c:v>345.23202254886388</c:v>
                </c:pt>
                <c:pt idx="581">
                  <c:v>346.59986214942239</c:v>
                </c:pt>
                <c:pt idx="582">
                  <c:v>347.96547472205236</c:v>
                </c:pt>
                <c:pt idx="583">
                  <c:v>349.32881912026079</c:v>
                </c:pt>
                <c:pt idx="584">
                  <c:v>350.68985439723178</c:v>
                </c:pt>
                <c:pt idx="585">
                  <c:v>352.04853981737256</c:v>
                </c:pt>
                <c:pt idx="586">
                  <c:v>353.40483486729767</c:v>
                </c:pt>
                <c:pt idx="587">
                  <c:v>354.75869926629343</c:v>
                </c:pt>
                <c:pt idx="588">
                  <c:v>356.11009297629857</c:v>
                </c:pt>
                <c:pt idx="589">
                  <c:v>357.45897621143405</c:v>
                </c:pt>
                <c:pt idx="590">
                  <c:v>358.80530944711165</c:v>
                </c:pt>
                <c:pt idx="591">
                  <c:v>360.149053428748</c:v>
                </c:pt>
                <c:pt idx="592">
                  <c:v>361.49016918010733</c:v>
                </c:pt>
                <c:pt idx="593">
                  <c:v>362.82861801129491</c:v>
                </c:pt>
                <c:pt idx="594">
                  <c:v>364.16436152642046</c:v>
                </c:pt>
                <c:pt idx="595">
                  <c:v>365.49736163094883</c:v>
                </c:pt>
                <c:pt idx="596">
                  <c:v>366.82758053875409</c:v>
                </c:pt>
                <c:pt idx="597">
                  <c:v>368.15498077889123</c:v>
                </c:pt>
                <c:pt idx="598">
                  <c:v>369.47952520209867</c:v>
                </c:pt>
                <c:pt idx="599">
                  <c:v>370.80117698704316</c:v>
                </c:pt>
                <c:pt idx="600">
                  <c:v>372.11989964631834</c:v>
                </c:pt>
                <c:pt idx="601">
                  <c:v>373.43565703220628</c:v>
                </c:pt>
                <c:pt idx="602">
                  <c:v>374.74841334221162</c:v>
                </c:pt>
                <c:pt idx="603">
                  <c:v>376.05813312437607</c:v>
                </c:pt>
                <c:pt idx="604">
                  <c:v>377.36478128238093</c:v>
                </c:pt>
                <c:pt idx="605">
                  <c:v>378.66832308044496</c:v>
                </c:pt>
                <c:pt idx="606">
                  <c:v>379.96872414802351</c:v>
                </c:pt>
                <c:pt idx="607">
                  <c:v>381.26595048431506</c:v>
                </c:pt>
                <c:pt idx="608">
                  <c:v>382.5599684625808</c:v>
                </c:pt>
                <c:pt idx="609">
                  <c:v>383.85074483428184</c:v>
                </c:pt>
                <c:pt idx="610">
                  <c:v>385.13824673303941</c:v>
                </c:pt>
                <c:pt idx="611">
                  <c:v>386.42244167842159</c:v>
                </c:pt>
                <c:pt idx="612">
                  <c:v>387.70329757956165</c:v>
                </c:pt>
                <c:pt idx="613">
                  <c:v>388.98078273861097</c:v>
                </c:pt>
                <c:pt idx="614">
                  <c:v>390.25486585403053</c:v>
                </c:pt>
                <c:pt idx="615">
                  <c:v>391.52551602372432</c:v>
                </c:pt>
                <c:pt idx="616">
                  <c:v>392.79270274801775</c:v>
                </c:pt>
                <c:pt idx="617">
                  <c:v>394.05639593248412</c:v>
                </c:pt>
                <c:pt idx="618">
                  <c:v>395.31656589062209</c:v>
                </c:pt>
                <c:pt idx="619">
                  <c:v>396.57318334638666</c:v>
                </c:pt>
                <c:pt idx="620">
                  <c:v>397.82621943657637</c:v>
                </c:pt>
                <c:pt idx="621">
                  <c:v>399.07564571307927</c:v>
                </c:pt>
                <c:pt idx="622">
                  <c:v>400.32143414497983</c:v>
                </c:pt>
                <c:pt idx="623">
                  <c:v>401.56355712052931</c:v>
                </c:pt>
                <c:pt idx="624">
                  <c:v>402.80198744898149</c:v>
                </c:pt>
                <c:pt idx="625">
                  <c:v>404.03669836229619</c:v>
                </c:pt>
                <c:pt idx="626">
                  <c:v>405.26766351671262</c:v>
                </c:pt>
                <c:pt idx="627">
                  <c:v>406.49485699419409</c:v>
                </c:pt>
                <c:pt idx="628">
                  <c:v>407.71825330374696</c:v>
                </c:pt>
                <c:pt idx="629">
                  <c:v>408.93782738261456</c:v>
                </c:pt>
                <c:pt idx="630">
                  <c:v>410.15355459734911</c:v>
                </c:pt>
                <c:pt idx="631">
                  <c:v>411.36541074476264</c:v>
                </c:pt>
                <c:pt idx="632">
                  <c:v>412.57337205275905</c:v>
                </c:pt>
                <c:pt idx="633">
                  <c:v>413.77741518104909</c:v>
                </c:pt>
                <c:pt idx="634">
                  <c:v>414.97751722174996</c:v>
                </c:pt>
                <c:pt idx="635">
                  <c:v>416.17365569987129</c:v>
                </c:pt>
                <c:pt idx="636">
                  <c:v>417.36580857368909</c:v>
                </c:pt>
                <c:pt idx="637">
                  <c:v>418.55395423500948</c:v>
                </c:pt>
                <c:pt idx="638">
                  <c:v>419.73807150932396</c:v>
                </c:pt>
                <c:pt idx="639">
                  <c:v>420.9181396558576</c:v>
                </c:pt>
                <c:pt idx="640">
                  <c:v>422.09413836751219</c:v>
                </c:pt>
                <c:pt idx="641">
                  <c:v>423.26604777070571</c:v>
                </c:pt>
                <c:pt idx="642">
                  <c:v>424.43384842510989</c:v>
                </c:pt>
                <c:pt idx="643">
                  <c:v>425.59752132328742</c:v>
                </c:pt>
                <c:pt idx="644">
                  <c:v>426.75704789023058</c:v>
                </c:pt>
                <c:pt idx="645">
                  <c:v>427.91240998280273</c:v>
                </c:pt>
                <c:pt idx="646">
                  <c:v>429.06358988908454</c:v>
                </c:pt>
                <c:pt idx="647">
                  <c:v>430.21057032762621</c:v>
                </c:pt>
                <c:pt idx="648">
                  <c:v>431.35333444660785</c:v>
                </c:pt>
                <c:pt idx="649">
                  <c:v>432.49186582290895</c:v>
                </c:pt>
                <c:pt idx="650">
                  <c:v>433.62614846108926</c:v>
                </c:pt>
                <c:pt idx="651">
                  <c:v>434.7561667922821</c:v>
                </c:pt>
                <c:pt idx="652">
                  <c:v>435.88190567300228</c:v>
                </c:pt>
                <c:pt idx="653">
                  <c:v>437.00335038386959</c:v>
                </c:pt>
                <c:pt idx="654">
                  <c:v>438.12048662825021</c:v>
                </c:pt>
                <c:pt idx="655">
                  <c:v>439.2333005308169</c:v>
                </c:pt>
                <c:pt idx="656">
                  <c:v>440.34177863603037</c:v>
                </c:pt>
                <c:pt idx="657">
                  <c:v>441.44590790654274</c:v>
                </c:pt>
                <c:pt idx="658">
                  <c:v>442.54567572152513</c:v>
                </c:pt>
                <c:pt idx="659">
                  <c:v>443.64106987492079</c:v>
                </c:pt>
                <c:pt idx="660">
                  <c:v>444.73207857362564</c:v>
                </c:pt>
                <c:pt idx="661">
                  <c:v>445.81869043559743</c:v>
                </c:pt>
                <c:pt idx="662">
                  <c:v>446.90089448789547</c:v>
                </c:pt>
                <c:pt idx="663">
                  <c:v>447.9786801646523</c:v>
                </c:pt>
                <c:pt idx="664">
                  <c:v>449.05203730497908</c:v>
                </c:pt>
                <c:pt idx="665">
                  <c:v>450.12095615080625</c:v>
                </c:pt>
                <c:pt idx="666">
                  <c:v>451.18542734466092</c:v>
                </c:pt>
                <c:pt idx="667">
                  <c:v>452.24544192738279</c:v>
                </c:pt>
                <c:pt idx="668">
                  <c:v>453.30099133578</c:v>
                </c:pt>
                <c:pt idx="669">
                  <c:v>454.35206740022653</c:v>
                </c:pt>
                <c:pt idx="670">
                  <c:v>455.39866234220301</c:v>
                </c:pt>
                <c:pt idx="671">
                  <c:v>456.4407687717819</c:v>
                </c:pt>
                <c:pt idx="672">
                  <c:v>457.47837968505922</c:v>
                </c:pt>
                <c:pt idx="673">
                  <c:v>458.51148846153404</c:v>
                </c:pt>
                <c:pt idx="674">
                  <c:v>459.54008886143748</c:v>
                </c:pt>
                <c:pt idx="675">
                  <c:v>460.56417502301247</c:v>
                </c:pt>
                <c:pt idx="676">
                  <c:v>461.58374145974608</c:v>
                </c:pt>
                <c:pt idx="677">
                  <c:v>462.59878305755586</c:v>
                </c:pt>
                <c:pt idx="678">
                  <c:v>463.6092950719318</c:v>
                </c:pt>
                <c:pt idx="679">
                  <c:v>464.615273125035</c:v>
                </c:pt>
                <c:pt idx="680">
                  <c:v>465.61671320275525</c:v>
                </c:pt>
                <c:pt idx="681">
                  <c:v>466.61361165172843</c:v>
                </c:pt>
                <c:pt idx="682">
                  <c:v>467.60596517631524</c:v>
                </c:pt>
                <c:pt idx="683">
                  <c:v>468.59377083554324</c:v>
                </c:pt>
                <c:pt idx="684">
                  <c:v>469.57702604001292</c:v>
                </c:pt>
                <c:pt idx="685">
                  <c:v>470.55572854877005</c:v>
                </c:pt>
                <c:pt idx="686">
                  <c:v>471.52987646614474</c:v>
                </c:pt>
                <c:pt idx="687">
                  <c:v>472.49946823855981</c:v>
                </c:pt>
                <c:pt idx="688">
                  <c:v>473.46450265130869</c:v>
                </c:pt>
                <c:pt idx="689">
                  <c:v>474.42497882530529</c:v>
                </c:pt>
                <c:pt idx="690">
                  <c:v>475.38089621380641</c:v>
                </c:pt>
                <c:pt idx="691">
                  <c:v>476.33225459910847</c:v>
                </c:pt>
                <c:pt idx="692">
                  <c:v>477.27905408921987</c:v>
                </c:pt>
                <c:pt idx="693">
                  <c:v>478.22129511451033</c:v>
                </c:pt>
                <c:pt idx="694">
                  <c:v>479.1589784243381</c:v>
                </c:pt>
                <c:pt idx="695">
                  <c:v>480.09210508365715</c:v>
                </c:pt>
                <c:pt idx="696">
                  <c:v>481.02067646960489</c:v>
                </c:pt>
                <c:pt idx="697">
                  <c:v>481.94469426807211</c:v>
                </c:pt>
                <c:pt idx="698">
                  <c:v>482.86416047025614</c:v>
                </c:pt>
                <c:pt idx="699">
                  <c:v>483.77907736919877</c:v>
                </c:pt>
                <c:pt idx="700">
                  <c:v>484.6894475563098</c:v>
                </c:pt>
                <c:pt idx="701">
                  <c:v>485.59527391787771</c:v>
                </c:pt>
                <c:pt idx="702">
                  <c:v>486.49655963156846</c:v>
                </c:pt>
                <c:pt idx="703">
                  <c:v>487.39330816291368</c:v>
                </c:pt>
                <c:pt idx="704">
                  <c:v>488.28552326178942</c:v>
                </c:pt>
                <c:pt idx="705">
                  <c:v>489.17320895888651</c:v>
                </c:pt>
                <c:pt idx="706">
                  <c:v>490.05636956217364</c:v>
                </c:pt>
                <c:pt idx="707">
                  <c:v>490.93500965335443</c:v>
                </c:pt>
                <c:pt idx="708">
                  <c:v>491.80913408431945</c:v>
                </c:pt>
                <c:pt idx="709">
                  <c:v>492.67874797359406</c:v>
                </c:pt>
                <c:pt idx="710">
                  <c:v>493.54385670278356</c:v>
                </c:pt>
                <c:pt idx="711">
                  <c:v>494.40446591301628</c:v>
                </c:pt>
                <c:pt idx="712">
                  <c:v>495.26058150138584</c:v>
                </c:pt>
                <c:pt idx="713">
                  <c:v>496.11220961739332</c:v>
                </c:pt>
                <c:pt idx="714">
                  <c:v>496.95935665939083</c:v>
                </c:pt>
                <c:pt idx="715">
                  <c:v>497.8020292710267</c:v>
                </c:pt>
                <c:pt idx="716">
                  <c:v>498.64023433769376</c:v>
                </c:pt>
                <c:pt idx="717">
                  <c:v>499.47397898298163</c:v>
                </c:pt>
                <c:pt idx="718">
                  <c:v>500.30327056513352</c:v>
                </c:pt>
                <c:pt idx="719">
                  <c:v>501.12811667350866</c:v>
                </c:pt>
                <c:pt idx="720">
                  <c:v>501.9485251250515</c:v>
                </c:pt>
                <c:pt idx="721">
                  <c:v>502.7645039607678</c:v>
                </c:pt>
                <c:pt idx="722">
                  <c:v>503.57606144220915</c:v>
                </c:pt>
                <c:pt idx="723">
                  <c:v>504.38320604796644</c:v>
                </c:pt>
                <c:pt idx="724">
                  <c:v>505.18594647017267</c:v>
                </c:pt>
                <c:pt idx="725">
                  <c:v>505.98429161101689</c:v>
                </c:pt>
                <c:pt idx="726">
                  <c:v>506.77825057926867</c:v>
                </c:pt>
                <c:pt idx="727">
                  <c:v>507.56783268681505</c:v>
                </c:pt>
                <c:pt idx="728">
                  <c:v>508.35304744520988</c:v>
                </c:pt>
                <c:pt idx="729">
                  <c:v>509.13390456223658</c:v>
                </c:pt>
                <c:pt idx="730">
                  <c:v>509.91041393848485</c:v>
                </c:pt>
                <c:pt idx="731">
                  <c:v>510.68258566394218</c:v>
                </c:pt>
                <c:pt idx="732">
                  <c:v>511.45043001460056</c:v>
                </c:pt>
                <c:pt idx="733">
                  <c:v>512.21395744907909</c:v>
                </c:pt>
                <c:pt idx="734">
                  <c:v>512.97317860526334</c:v>
                </c:pt>
                <c:pt idx="735">
                  <c:v>513.72810429696142</c:v>
                </c:pt>
                <c:pt idx="736">
                  <c:v>514.47874551057805</c:v>
                </c:pt>
                <c:pt idx="737">
                  <c:v>515.22511340180665</c:v>
                </c:pt>
                <c:pt idx="738">
                  <c:v>515.22511340180665</c:v>
                </c:pt>
                <c:pt idx="739">
                  <c:v>515.22511340180665</c:v>
                </c:pt>
                <c:pt idx="740">
                  <c:v>515.22511340180665</c:v>
                </c:pt>
                <c:pt idx="741">
                  <c:v>515.22511340180665</c:v>
                </c:pt>
                <c:pt idx="742">
                  <c:v>515.22511340180665</c:v>
                </c:pt>
                <c:pt idx="743">
                  <c:v>515.22511340180665</c:v>
                </c:pt>
                <c:pt idx="744">
                  <c:v>515.22511340180665</c:v>
                </c:pt>
                <c:pt idx="745">
                  <c:v>515.22511340180665</c:v>
                </c:pt>
                <c:pt idx="746">
                  <c:v>515.22511340180665</c:v>
                </c:pt>
                <c:pt idx="747">
                  <c:v>515.22511340180665</c:v>
                </c:pt>
                <c:pt idx="748">
                  <c:v>515.22511340180665</c:v>
                </c:pt>
                <c:pt idx="749">
                  <c:v>515.22511340180665</c:v>
                </c:pt>
                <c:pt idx="750">
                  <c:v>515.22511340180665</c:v>
                </c:pt>
                <c:pt idx="751">
                  <c:v>515.22511340180665</c:v>
                </c:pt>
                <c:pt idx="752">
                  <c:v>515.22511340180665</c:v>
                </c:pt>
                <c:pt idx="753">
                  <c:v>515.22511340180665</c:v>
                </c:pt>
                <c:pt idx="754">
                  <c:v>515.22511340180665</c:v>
                </c:pt>
                <c:pt idx="755">
                  <c:v>515.22511340180665</c:v>
                </c:pt>
                <c:pt idx="756">
                  <c:v>515.22511340180665</c:v>
                </c:pt>
                <c:pt idx="757">
                  <c:v>515.22511340180665</c:v>
                </c:pt>
                <c:pt idx="758">
                  <c:v>515.22511340180665</c:v>
                </c:pt>
                <c:pt idx="759">
                  <c:v>515.22511340180665</c:v>
                </c:pt>
                <c:pt idx="760">
                  <c:v>515.22511340180665</c:v>
                </c:pt>
                <c:pt idx="761">
                  <c:v>515.22511340180665</c:v>
                </c:pt>
                <c:pt idx="762">
                  <c:v>515.22511340180665</c:v>
                </c:pt>
                <c:pt idx="763">
                  <c:v>515.22511340180665</c:v>
                </c:pt>
                <c:pt idx="764">
                  <c:v>515.22511340180665</c:v>
                </c:pt>
                <c:pt idx="765">
                  <c:v>515.22511340180665</c:v>
                </c:pt>
                <c:pt idx="766">
                  <c:v>515.22511340180665</c:v>
                </c:pt>
                <c:pt idx="767">
                  <c:v>515.22511340180665</c:v>
                </c:pt>
                <c:pt idx="768">
                  <c:v>515.22511340180665</c:v>
                </c:pt>
                <c:pt idx="769">
                  <c:v>515.22511340180665</c:v>
                </c:pt>
                <c:pt idx="770">
                  <c:v>515.22511340180665</c:v>
                </c:pt>
                <c:pt idx="771">
                  <c:v>515.22511340180665</c:v>
                </c:pt>
                <c:pt idx="772">
                  <c:v>515.22511340180665</c:v>
                </c:pt>
                <c:pt idx="773">
                  <c:v>515.22511340180665</c:v>
                </c:pt>
                <c:pt idx="774">
                  <c:v>515.22511340180665</c:v>
                </c:pt>
                <c:pt idx="775">
                  <c:v>515.22511340180665</c:v>
                </c:pt>
                <c:pt idx="776">
                  <c:v>515.22511340180665</c:v>
                </c:pt>
                <c:pt idx="777">
                  <c:v>515.22511340180665</c:v>
                </c:pt>
                <c:pt idx="778">
                  <c:v>515.22511340180665</c:v>
                </c:pt>
                <c:pt idx="779">
                  <c:v>515.22511340180665</c:v>
                </c:pt>
                <c:pt idx="780">
                  <c:v>515.22511340180665</c:v>
                </c:pt>
                <c:pt idx="781">
                  <c:v>515.22511340180665</c:v>
                </c:pt>
                <c:pt idx="782">
                  <c:v>515.22511340180665</c:v>
                </c:pt>
                <c:pt idx="783">
                  <c:v>515.22511340180665</c:v>
                </c:pt>
                <c:pt idx="784">
                  <c:v>515.22511340180665</c:v>
                </c:pt>
                <c:pt idx="785">
                  <c:v>515.22511340180665</c:v>
                </c:pt>
                <c:pt idx="786">
                  <c:v>515.22511340180665</c:v>
                </c:pt>
                <c:pt idx="787">
                  <c:v>515.22511340180665</c:v>
                </c:pt>
                <c:pt idx="788">
                  <c:v>515.22511340180665</c:v>
                </c:pt>
                <c:pt idx="789">
                  <c:v>515.22511340180665</c:v>
                </c:pt>
                <c:pt idx="790">
                  <c:v>515.22511340180665</c:v>
                </c:pt>
                <c:pt idx="791">
                  <c:v>515.22511340180665</c:v>
                </c:pt>
                <c:pt idx="792">
                  <c:v>515.22511340180665</c:v>
                </c:pt>
                <c:pt idx="793">
                  <c:v>515.22511340180665</c:v>
                </c:pt>
                <c:pt idx="794">
                  <c:v>515.22511340180665</c:v>
                </c:pt>
                <c:pt idx="795">
                  <c:v>515.22511340180665</c:v>
                </c:pt>
                <c:pt idx="796">
                  <c:v>515.22511340180665</c:v>
                </c:pt>
                <c:pt idx="797">
                  <c:v>515.22511340180665</c:v>
                </c:pt>
                <c:pt idx="798">
                  <c:v>515.22511340180665</c:v>
                </c:pt>
                <c:pt idx="799">
                  <c:v>515.22511340180665</c:v>
                </c:pt>
                <c:pt idx="800">
                  <c:v>515.22511340180665</c:v>
                </c:pt>
                <c:pt idx="801">
                  <c:v>515.22511340180665</c:v>
                </c:pt>
                <c:pt idx="802">
                  <c:v>515.22511340180665</c:v>
                </c:pt>
                <c:pt idx="803">
                  <c:v>515.22511340180665</c:v>
                </c:pt>
                <c:pt idx="804">
                  <c:v>515.22511340180665</c:v>
                </c:pt>
                <c:pt idx="805">
                  <c:v>515.22511340180665</c:v>
                </c:pt>
                <c:pt idx="806">
                  <c:v>515.22511340180665</c:v>
                </c:pt>
                <c:pt idx="807">
                  <c:v>515.22511340180665</c:v>
                </c:pt>
                <c:pt idx="808">
                  <c:v>515.22511340180665</c:v>
                </c:pt>
                <c:pt idx="809">
                  <c:v>515.22511340180665</c:v>
                </c:pt>
                <c:pt idx="810">
                  <c:v>515.22511340180665</c:v>
                </c:pt>
                <c:pt idx="811">
                  <c:v>515.22511340180665</c:v>
                </c:pt>
                <c:pt idx="812">
                  <c:v>515.22511340180665</c:v>
                </c:pt>
                <c:pt idx="813">
                  <c:v>515.22511340180665</c:v>
                </c:pt>
                <c:pt idx="814">
                  <c:v>515.22511340180665</c:v>
                </c:pt>
                <c:pt idx="815">
                  <c:v>515.22511340180665</c:v>
                </c:pt>
                <c:pt idx="816">
                  <c:v>515.22511340180665</c:v>
                </c:pt>
                <c:pt idx="817">
                  <c:v>515.22511340180665</c:v>
                </c:pt>
                <c:pt idx="818">
                  <c:v>515.22511340180665</c:v>
                </c:pt>
                <c:pt idx="819">
                  <c:v>515.22511340180665</c:v>
                </c:pt>
                <c:pt idx="820">
                  <c:v>515.22511340180665</c:v>
                </c:pt>
                <c:pt idx="821">
                  <c:v>515.22511340180665</c:v>
                </c:pt>
                <c:pt idx="822">
                  <c:v>515.22511340180665</c:v>
                </c:pt>
                <c:pt idx="823">
                  <c:v>515.22511340180665</c:v>
                </c:pt>
                <c:pt idx="824">
                  <c:v>515.22511340180665</c:v>
                </c:pt>
                <c:pt idx="825">
                  <c:v>515.22511340180665</c:v>
                </c:pt>
                <c:pt idx="826">
                  <c:v>515.22511340180665</c:v>
                </c:pt>
                <c:pt idx="827">
                  <c:v>515.22511340180665</c:v>
                </c:pt>
                <c:pt idx="828">
                  <c:v>515.22511340180665</c:v>
                </c:pt>
                <c:pt idx="829">
                  <c:v>515.22511340180665</c:v>
                </c:pt>
                <c:pt idx="830">
                  <c:v>515.22511340180665</c:v>
                </c:pt>
                <c:pt idx="831">
                  <c:v>515.22511340180665</c:v>
                </c:pt>
                <c:pt idx="832">
                  <c:v>515.22511340180665</c:v>
                </c:pt>
                <c:pt idx="833">
                  <c:v>515.22511340180665</c:v>
                </c:pt>
                <c:pt idx="834">
                  <c:v>515.22511340180665</c:v>
                </c:pt>
                <c:pt idx="835">
                  <c:v>515.22511340180665</c:v>
                </c:pt>
                <c:pt idx="836">
                  <c:v>515.22511340180665</c:v>
                </c:pt>
                <c:pt idx="837">
                  <c:v>515.22511340180665</c:v>
                </c:pt>
                <c:pt idx="838">
                  <c:v>515.22511340180665</c:v>
                </c:pt>
                <c:pt idx="839">
                  <c:v>515.22511340180665</c:v>
                </c:pt>
                <c:pt idx="840">
                  <c:v>515.22511340180665</c:v>
                </c:pt>
                <c:pt idx="841">
                  <c:v>515.22511340180665</c:v>
                </c:pt>
                <c:pt idx="842">
                  <c:v>515.22511340180665</c:v>
                </c:pt>
                <c:pt idx="843">
                  <c:v>515.22511340180665</c:v>
                </c:pt>
                <c:pt idx="844">
                  <c:v>515.22511340180665</c:v>
                </c:pt>
                <c:pt idx="845">
                  <c:v>515.22511340180665</c:v>
                </c:pt>
                <c:pt idx="846">
                  <c:v>515.22511340180665</c:v>
                </c:pt>
                <c:pt idx="847">
                  <c:v>515.22511340180665</c:v>
                </c:pt>
                <c:pt idx="848">
                  <c:v>515.22511340180665</c:v>
                </c:pt>
                <c:pt idx="849">
                  <c:v>515.22511340180665</c:v>
                </c:pt>
                <c:pt idx="850">
                  <c:v>515.22511340180665</c:v>
                </c:pt>
                <c:pt idx="851">
                  <c:v>515.22511340180665</c:v>
                </c:pt>
                <c:pt idx="852">
                  <c:v>515.22511340180665</c:v>
                </c:pt>
                <c:pt idx="853">
                  <c:v>515.22511340180665</c:v>
                </c:pt>
                <c:pt idx="854">
                  <c:v>515.22511340180665</c:v>
                </c:pt>
                <c:pt idx="855">
                  <c:v>515.22511340180665</c:v>
                </c:pt>
                <c:pt idx="856">
                  <c:v>515.22511340180665</c:v>
                </c:pt>
                <c:pt idx="857">
                  <c:v>515.22511340180665</c:v>
                </c:pt>
                <c:pt idx="858">
                  <c:v>515.22511340180665</c:v>
                </c:pt>
                <c:pt idx="859">
                  <c:v>515.22511340180665</c:v>
                </c:pt>
                <c:pt idx="860">
                  <c:v>515.22511340180665</c:v>
                </c:pt>
                <c:pt idx="861">
                  <c:v>515.22511340180665</c:v>
                </c:pt>
                <c:pt idx="862">
                  <c:v>515.22511340180665</c:v>
                </c:pt>
                <c:pt idx="863">
                  <c:v>515.22511340180665</c:v>
                </c:pt>
                <c:pt idx="864">
                  <c:v>515.22511340180665</c:v>
                </c:pt>
                <c:pt idx="865">
                  <c:v>515.22511340180665</c:v>
                </c:pt>
                <c:pt idx="866">
                  <c:v>515.22511340180665</c:v>
                </c:pt>
                <c:pt idx="867">
                  <c:v>515.22511340180665</c:v>
                </c:pt>
                <c:pt idx="868">
                  <c:v>515.22511340180665</c:v>
                </c:pt>
                <c:pt idx="869">
                  <c:v>515.22511340180665</c:v>
                </c:pt>
                <c:pt idx="870">
                  <c:v>515.22511340180665</c:v>
                </c:pt>
                <c:pt idx="871">
                  <c:v>515.22511340180665</c:v>
                </c:pt>
                <c:pt idx="872">
                  <c:v>515.22511340180665</c:v>
                </c:pt>
                <c:pt idx="873">
                  <c:v>515.22511340180665</c:v>
                </c:pt>
                <c:pt idx="874">
                  <c:v>515.22511340180665</c:v>
                </c:pt>
                <c:pt idx="875">
                  <c:v>515.22511340180665</c:v>
                </c:pt>
                <c:pt idx="876">
                  <c:v>515.22511340180665</c:v>
                </c:pt>
                <c:pt idx="877">
                  <c:v>515.22511340180665</c:v>
                </c:pt>
                <c:pt idx="878">
                  <c:v>515.22511340180665</c:v>
                </c:pt>
                <c:pt idx="879">
                  <c:v>515.22511340180665</c:v>
                </c:pt>
                <c:pt idx="880">
                  <c:v>515.22511340180665</c:v>
                </c:pt>
                <c:pt idx="881">
                  <c:v>515.22511340180665</c:v>
                </c:pt>
                <c:pt idx="882">
                  <c:v>515.22511340180665</c:v>
                </c:pt>
                <c:pt idx="883">
                  <c:v>515.22511340180665</c:v>
                </c:pt>
                <c:pt idx="884">
                  <c:v>515.22511340180665</c:v>
                </c:pt>
                <c:pt idx="885">
                  <c:v>515.22511340180665</c:v>
                </c:pt>
                <c:pt idx="886">
                  <c:v>515.22511340180665</c:v>
                </c:pt>
                <c:pt idx="887">
                  <c:v>515.22511340180665</c:v>
                </c:pt>
                <c:pt idx="888">
                  <c:v>515.22511340180665</c:v>
                </c:pt>
                <c:pt idx="889">
                  <c:v>515.22511340180665</c:v>
                </c:pt>
                <c:pt idx="890">
                  <c:v>515.22511340180665</c:v>
                </c:pt>
                <c:pt idx="891">
                  <c:v>515.22511340180665</c:v>
                </c:pt>
                <c:pt idx="892">
                  <c:v>515.22511340180665</c:v>
                </c:pt>
                <c:pt idx="893">
                  <c:v>515.22511340180665</c:v>
                </c:pt>
                <c:pt idx="894">
                  <c:v>515.22511340180665</c:v>
                </c:pt>
                <c:pt idx="895">
                  <c:v>515.22511340180665</c:v>
                </c:pt>
                <c:pt idx="896">
                  <c:v>515.22511340180665</c:v>
                </c:pt>
                <c:pt idx="897">
                  <c:v>515.22511340180665</c:v>
                </c:pt>
                <c:pt idx="898">
                  <c:v>515.22511340180665</c:v>
                </c:pt>
                <c:pt idx="899">
                  <c:v>515.22511340180665</c:v>
                </c:pt>
                <c:pt idx="900">
                  <c:v>515.22511340180665</c:v>
                </c:pt>
                <c:pt idx="901">
                  <c:v>515.22511340180665</c:v>
                </c:pt>
                <c:pt idx="902">
                  <c:v>515.22511340180665</c:v>
                </c:pt>
                <c:pt idx="903">
                  <c:v>515.22511340180665</c:v>
                </c:pt>
                <c:pt idx="904">
                  <c:v>515.22511340180665</c:v>
                </c:pt>
                <c:pt idx="905">
                  <c:v>515.22511340180665</c:v>
                </c:pt>
                <c:pt idx="906">
                  <c:v>515.22511340180665</c:v>
                </c:pt>
                <c:pt idx="907">
                  <c:v>515.22511340180665</c:v>
                </c:pt>
                <c:pt idx="908">
                  <c:v>515.22511340180665</c:v>
                </c:pt>
                <c:pt idx="909">
                  <c:v>515.22511340180665</c:v>
                </c:pt>
                <c:pt idx="910">
                  <c:v>515.22511340180665</c:v>
                </c:pt>
                <c:pt idx="911">
                  <c:v>515.22511340180665</c:v>
                </c:pt>
                <c:pt idx="912">
                  <c:v>515.22511340180665</c:v>
                </c:pt>
                <c:pt idx="913">
                  <c:v>515.22511340180665</c:v>
                </c:pt>
                <c:pt idx="914">
                  <c:v>515.22511340180665</c:v>
                </c:pt>
                <c:pt idx="915">
                  <c:v>515.22511340180665</c:v>
                </c:pt>
                <c:pt idx="916">
                  <c:v>515.22511340180665</c:v>
                </c:pt>
                <c:pt idx="917">
                  <c:v>515.22511340180665</c:v>
                </c:pt>
                <c:pt idx="918">
                  <c:v>515.22511340180665</c:v>
                </c:pt>
                <c:pt idx="919">
                  <c:v>515.22511340180665</c:v>
                </c:pt>
                <c:pt idx="920">
                  <c:v>515.22511340180665</c:v>
                </c:pt>
                <c:pt idx="921">
                  <c:v>515.22511340180665</c:v>
                </c:pt>
                <c:pt idx="922">
                  <c:v>515.22511340180665</c:v>
                </c:pt>
                <c:pt idx="923">
                  <c:v>515.22511340180665</c:v>
                </c:pt>
                <c:pt idx="924">
                  <c:v>515.22511340180665</c:v>
                </c:pt>
                <c:pt idx="925">
                  <c:v>515.22511340180665</c:v>
                </c:pt>
                <c:pt idx="926">
                  <c:v>515.22511340180665</c:v>
                </c:pt>
                <c:pt idx="927">
                  <c:v>515.22511340180665</c:v>
                </c:pt>
                <c:pt idx="928">
                  <c:v>515.22511340180665</c:v>
                </c:pt>
                <c:pt idx="929">
                  <c:v>515.22511340180665</c:v>
                </c:pt>
                <c:pt idx="930">
                  <c:v>515.22511340180665</c:v>
                </c:pt>
                <c:pt idx="931">
                  <c:v>515.22511340180665</c:v>
                </c:pt>
                <c:pt idx="932">
                  <c:v>515.22511340180665</c:v>
                </c:pt>
                <c:pt idx="933">
                  <c:v>515.22511340180665</c:v>
                </c:pt>
                <c:pt idx="934">
                  <c:v>515.22511340180665</c:v>
                </c:pt>
                <c:pt idx="935">
                  <c:v>515.22511340180665</c:v>
                </c:pt>
                <c:pt idx="936">
                  <c:v>515.22511340180665</c:v>
                </c:pt>
                <c:pt idx="937">
                  <c:v>515.22511340180665</c:v>
                </c:pt>
                <c:pt idx="938">
                  <c:v>515.22511340180665</c:v>
                </c:pt>
                <c:pt idx="939">
                  <c:v>515.22511340180665</c:v>
                </c:pt>
                <c:pt idx="940">
                  <c:v>515.22511340180665</c:v>
                </c:pt>
                <c:pt idx="941">
                  <c:v>515.22511340180665</c:v>
                </c:pt>
                <c:pt idx="942">
                  <c:v>515.22511340180665</c:v>
                </c:pt>
                <c:pt idx="943">
                  <c:v>515.22511340180665</c:v>
                </c:pt>
                <c:pt idx="944">
                  <c:v>515.22511340180665</c:v>
                </c:pt>
                <c:pt idx="945">
                  <c:v>515.22511340180665</c:v>
                </c:pt>
                <c:pt idx="946">
                  <c:v>515.22511340180665</c:v>
                </c:pt>
                <c:pt idx="947">
                  <c:v>515.22511340180665</c:v>
                </c:pt>
                <c:pt idx="948">
                  <c:v>515.22511340180665</c:v>
                </c:pt>
                <c:pt idx="949">
                  <c:v>515.22511340180665</c:v>
                </c:pt>
                <c:pt idx="950">
                  <c:v>515.22511340180665</c:v>
                </c:pt>
                <c:pt idx="951">
                  <c:v>515.22511340180665</c:v>
                </c:pt>
                <c:pt idx="952">
                  <c:v>515.22511340180665</c:v>
                </c:pt>
                <c:pt idx="953">
                  <c:v>515.22511340180665</c:v>
                </c:pt>
                <c:pt idx="954">
                  <c:v>515.22511340180665</c:v>
                </c:pt>
                <c:pt idx="955">
                  <c:v>515.22511340180665</c:v>
                </c:pt>
                <c:pt idx="956">
                  <c:v>515.22511340180665</c:v>
                </c:pt>
                <c:pt idx="957">
                  <c:v>515.22511340180665</c:v>
                </c:pt>
                <c:pt idx="958">
                  <c:v>515.22511340180665</c:v>
                </c:pt>
                <c:pt idx="959">
                  <c:v>515.22511340180665</c:v>
                </c:pt>
                <c:pt idx="960">
                  <c:v>515.22511340180665</c:v>
                </c:pt>
                <c:pt idx="961">
                  <c:v>515.22511340180665</c:v>
                </c:pt>
                <c:pt idx="962">
                  <c:v>515.22511340180665</c:v>
                </c:pt>
                <c:pt idx="963">
                  <c:v>515.22511340180665</c:v>
                </c:pt>
                <c:pt idx="964">
                  <c:v>515.22511340180665</c:v>
                </c:pt>
                <c:pt idx="965">
                  <c:v>515.22511340180665</c:v>
                </c:pt>
                <c:pt idx="966">
                  <c:v>515.22511340180665</c:v>
                </c:pt>
                <c:pt idx="967">
                  <c:v>515.22511340180665</c:v>
                </c:pt>
                <c:pt idx="968">
                  <c:v>515.22511340180665</c:v>
                </c:pt>
                <c:pt idx="969">
                  <c:v>515.22511340180665</c:v>
                </c:pt>
                <c:pt idx="970">
                  <c:v>515.22511340180665</c:v>
                </c:pt>
                <c:pt idx="971">
                  <c:v>515.22511340180665</c:v>
                </c:pt>
                <c:pt idx="972">
                  <c:v>515.22511340180665</c:v>
                </c:pt>
                <c:pt idx="973">
                  <c:v>515.22511340180665</c:v>
                </c:pt>
                <c:pt idx="974">
                  <c:v>515.22511340180665</c:v>
                </c:pt>
                <c:pt idx="975">
                  <c:v>515.22511340180665</c:v>
                </c:pt>
                <c:pt idx="976">
                  <c:v>515.22511340180665</c:v>
                </c:pt>
                <c:pt idx="977">
                  <c:v>515.22511340180665</c:v>
                </c:pt>
                <c:pt idx="978">
                  <c:v>515.22511340180665</c:v>
                </c:pt>
                <c:pt idx="979">
                  <c:v>515.22511340180665</c:v>
                </c:pt>
                <c:pt idx="980">
                  <c:v>515.22511340180665</c:v>
                </c:pt>
                <c:pt idx="981">
                  <c:v>515.22511340180665</c:v>
                </c:pt>
                <c:pt idx="982">
                  <c:v>515.22511340180665</c:v>
                </c:pt>
                <c:pt idx="983">
                  <c:v>515.22511340180665</c:v>
                </c:pt>
                <c:pt idx="984">
                  <c:v>515.22511340180665</c:v>
                </c:pt>
                <c:pt idx="985">
                  <c:v>515.22511340180665</c:v>
                </c:pt>
                <c:pt idx="986">
                  <c:v>515.22511340180665</c:v>
                </c:pt>
                <c:pt idx="987">
                  <c:v>515.22511340180665</c:v>
                </c:pt>
                <c:pt idx="988">
                  <c:v>515.22511340180665</c:v>
                </c:pt>
                <c:pt idx="989">
                  <c:v>515.22511340180665</c:v>
                </c:pt>
                <c:pt idx="990">
                  <c:v>515.22511340180665</c:v>
                </c:pt>
                <c:pt idx="991">
                  <c:v>515.22511340180665</c:v>
                </c:pt>
                <c:pt idx="992">
                  <c:v>515.22511340180665</c:v>
                </c:pt>
                <c:pt idx="993">
                  <c:v>515.22511340180665</c:v>
                </c:pt>
                <c:pt idx="994">
                  <c:v>515.22511340180665</c:v>
                </c:pt>
                <c:pt idx="995">
                  <c:v>515.22511340180665</c:v>
                </c:pt>
                <c:pt idx="996">
                  <c:v>515.22511340180665</c:v>
                </c:pt>
                <c:pt idx="997">
                  <c:v>515.22511340180665</c:v>
                </c:pt>
                <c:pt idx="998">
                  <c:v>515.22511340180665</c:v>
                </c:pt>
                <c:pt idx="999">
                  <c:v>515.22511340180665</c:v>
                </c:pt>
                <c:pt idx="1000">
                  <c:v>515.22511340180665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3.562696885685801E-5</c:v>
                </c:pt>
                <c:pt idx="2">
                  <c:v>1.1875575187218533E-3</c:v>
                </c:pt>
                <c:pt idx="3">
                  <c:v>5.5464952848076647E-3</c:v>
                </c:pt>
                <c:pt idx="4">
                  <c:v>1.5204678378389128E-2</c:v>
                </c:pt>
                <c:pt idx="5">
                  <c:v>3.2256526919684975E-2</c:v>
                </c:pt>
                <c:pt idx="6">
                  <c:v>5.8269452385194841E-2</c:v>
                </c:pt>
                <c:pt idx="7">
                  <c:v>9.3753305161804801E-2</c:v>
                </c:pt>
                <c:pt idx="8">
                  <c:v>0.13868858422863994</c:v>
                </c:pt>
                <c:pt idx="9">
                  <c:v>0.19305568704877241</c:v>
                </c:pt>
                <c:pt idx="10">
                  <c:v>0.25683490991255581</c:v>
                </c:pt>
                <c:pt idx="11">
                  <c:v>0.33000644828484993</c:v>
                </c:pt>
                <c:pt idx="12">
                  <c:v>0.41255039715610847</c:v>
                </c:pt>
                <c:pt idx="13">
                  <c:v>0.50444675139730177</c:v>
                </c:pt>
                <c:pt idx="14">
                  <c:v>0.60567540611864645</c:v>
                </c:pt>
                <c:pt idx="15">
                  <c:v>0.71621615703211317</c:v>
                </c:pt>
                <c:pt idx="16">
                  <c:v>0.83604870081768412</c:v>
                </c:pt>
                <c:pt idx="17">
                  <c:v>0.96515263549333041</c:v>
                </c:pt>
                <c:pt idx="18">
                  <c:v>1.1035074607886803</c:v>
                </c:pt>
                <c:pt idx="19">
                  <c:v>1.2510925785223481</c:v>
                </c:pt>
                <c:pt idx="20">
                  <c:v>1.4078872929828936</c:v>
                </c:pt>
                <c:pt idx="21">
                  <c:v>1.5738708113133821</c:v>
                </c:pt>
                <c:pt idx="22">
                  <c:v>1.7490222438995127</c:v>
                </c:pt>
                <c:pt idx="23">
                  <c:v>1.9333206047612856</c:v>
                </c:pt>
                <c:pt idx="24">
                  <c:v>2.1267448119481767</c:v>
                </c:pt>
                <c:pt idx="25">
                  <c:v>2.3292736879377847</c:v>
                </c:pt>
                <c:pt idx="26">
                  <c:v>2.540885960037925</c:v>
                </c:pt>
                <c:pt idx="27">
                  <c:v>2.7615602607921304</c:v>
                </c:pt>
                <c:pt idx="28">
                  <c:v>2.9912751283885326</c:v>
                </c:pt>
                <c:pt idx="29">
                  <c:v>3.230009007072089</c:v>
                </c:pt>
                <c:pt idx="30">
                  <c:v>3.4777402475601189</c:v>
                </c:pt>
                <c:pt idx="31">
                  <c:v>3.7344471074611216</c:v>
                </c:pt>
                <c:pt idx="32">
                  <c:v>4.000107751696838</c:v>
                </c:pt>
                <c:pt idx="33">
                  <c:v>4.274696525166461</c:v>
                </c:pt>
                <c:pt idx="34">
                  <c:v>4.5581875509029022</c:v>
                </c:pt>
                <c:pt idx="35">
                  <c:v>4.8505584600409337</c:v>
                </c:pt>
                <c:pt idx="36">
                  <c:v>5.1517867981019645</c:v>
                </c:pt>
                <c:pt idx="37">
                  <c:v>5.4618500270532619</c:v>
                </c:pt>
                <c:pt idx="38">
                  <c:v>5.7807255254015475</c:v>
                </c:pt>
                <c:pt idx="39">
                  <c:v>6.108390588317401</c:v>
                </c:pt>
                <c:pt idx="40">
                  <c:v>6.4448224277874928</c:v>
                </c:pt>
                <c:pt idx="41">
                  <c:v>6.78999817279204</c:v>
                </c:pt>
                <c:pt idx="42">
                  <c:v>7.1438948695052158</c:v>
                </c:pt>
                <c:pt idx="43">
                  <c:v>7.5064894815165157</c:v>
                </c:pt>
                <c:pt idx="44">
                  <c:v>7.8777588900713127</c:v>
                </c:pt>
                <c:pt idx="45">
                  <c:v>8.2576798943290477</c:v>
                </c:pt>
                <c:pt idx="46">
                  <c:v>8.6462292116376762</c:v>
                </c:pt>
                <c:pt idx="47">
                  <c:v>9.0433834778231219</c:v>
                </c:pt>
                <c:pt idx="48">
                  <c:v>9.4491192474926535</c:v>
                </c:pt>
                <c:pt idx="49">
                  <c:v>9.8634129943511848</c:v>
                </c:pt>
                <c:pt idx="50">
                  <c:v>10.286241111529611</c:v>
                </c:pt>
                <c:pt idx="51">
                  <c:v>10.717582703030709</c:v>
                </c:pt>
                <c:pt idx="52">
                  <c:v>11.157422379425888</c:v>
                </c:pt>
                <c:pt idx="53">
                  <c:v>11.605747472928835</c:v>
                </c:pt>
                <c:pt idx="54">
                  <c:v>12.062545248107767</c:v>
                </c:pt>
                <c:pt idx="55">
                  <c:v>12.5278029020023</c:v>
                </c:pt>
                <c:pt idx="56">
                  <c:v>13.001507564247742</c:v>
                </c:pt>
                <c:pt idx="57">
                  <c:v>13.483646297206469</c:v>
                </c:pt>
                <c:pt idx="58">
                  <c:v>13.974206096106016</c:v>
                </c:pt>
                <c:pt idx="59">
                  <c:v>14.473173889183581</c:v>
                </c:pt>
                <c:pt idx="60">
                  <c:v>14.980536537836667</c:v>
                </c:pt>
                <c:pt idx="61">
                  <c:v>15.496280836779572</c:v>
                </c:pt>
                <c:pt idx="62">
                  <c:v>16.020393514205502</c:v>
                </c:pt>
                <c:pt idx="63">
                  <c:v>16.552861231954065</c:v>
                </c:pt>
                <c:pt idx="64">
                  <c:v>17.093670585683952</c:v>
                </c:pt>
                <c:pt idx="65">
                  <c:v>17.642808105050591</c:v>
                </c:pt>
                <c:pt idx="66">
                  <c:v>18.200260253888597</c:v>
                </c:pt>
                <c:pt idx="67">
                  <c:v>18.766013430398861</c:v>
                </c:pt>
                <c:pt idx="68">
                  <c:v>19.340053967340097</c:v>
                </c:pt>
                <c:pt idx="69">
                  <c:v>19.922368132224715</c:v>
                </c:pt>
                <c:pt idx="70">
                  <c:v>20.51294212751888</c:v>
                </c:pt>
                <c:pt idx="71">
                  <c:v>21.111762090846604</c:v>
                </c:pt>
                <c:pt idx="72">
                  <c:v>21.718814095197782</c:v>
                </c:pt>
                <c:pt idx="73">
                  <c:v>22.334084149140036</c:v>
                </c:pt>
                <c:pt idx="74">
                  <c:v>22.957558197034245</c:v>
                </c:pt>
                <c:pt idx="75">
                  <c:v>23.589222119253687</c:v>
                </c:pt>
                <c:pt idx="76">
                  <c:v>24.229061732406674</c:v>
                </c:pt>
                <c:pt idx="77">
                  <c:v>24.877062789562594</c:v>
                </c:pt>
                <c:pt idx="78">
                  <c:v>25.533210980481272</c:v>
                </c:pt>
                <c:pt idx="79">
                  <c:v>26.197491931845555</c:v>
                </c:pt>
                <c:pt idx="80">
                  <c:v>26.869891207497066</c:v>
                </c:pt>
                <c:pt idx="81">
                  <c:v>27.55039430867502</c:v>
                </c:pt>
                <c:pt idx="82">
                  <c:v>28.238986674258054</c:v>
                </c:pt>
                <c:pt idx="83">
                  <c:v>28.93565368100899</c:v>
                </c:pt>
                <c:pt idx="84">
                  <c:v>29.640380643822454</c:v>
                </c:pt>
                <c:pt idx="85">
                  <c:v>30.35315281597531</c:v>
                </c:pt>
                <c:pt idx="86">
                  <c:v>31.073955389379837</c:v>
                </c:pt>
                <c:pt idx="87">
                  <c:v>31.802773494839574</c:v>
                </c:pt>
                <c:pt idx="88">
                  <c:v>32.539592202307801</c:v>
                </c:pt>
                <c:pt idx="89">
                  <c:v>33.284396521148587</c:v>
                </c:pt>
                <c:pt idx="90">
                  <c:v>34.037171400400354</c:v>
                </c:pt>
                <c:pt idx="91">
                  <c:v>34.797901729041897</c:v>
                </c:pt>
                <c:pt idx="92">
                  <c:v>35.566572336260847</c:v>
                </c:pt>
                <c:pt idx="93">
                  <c:v>36.343167991724457</c:v>
                </c:pt>
                <c:pt idx="94">
                  <c:v>37.12767340585274</c:v>
                </c:pt>
                <c:pt idx="95">
                  <c:v>37.92007323009387</c:v>
                </c:pt>
                <c:pt idx="96">
                  <c:v>38.720352057201815</c:v>
                </c:pt>
                <c:pt idx="97">
                  <c:v>39.528494421516164</c:v>
                </c:pt>
                <c:pt idx="98">
                  <c:v>40.344484799244064</c:v>
                </c:pt>
                <c:pt idx="99">
                  <c:v>41.168307608744314</c:v>
                </c:pt>
                <c:pt idx="100">
                  <c:v>41.999947210813467</c:v>
                </c:pt>
                <c:pt idx="101">
                  <c:v>42.839386621090078</c:v>
                </c:pt>
                <c:pt idx="102">
                  <c:v>43.686606221046318</c:v>
                </c:pt>
                <c:pt idx="103">
                  <c:v>44.541585044517475</c:v>
                </c:pt>
                <c:pt idx="104">
                  <c:v>45.404302065707192</c:v>
                </c:pt>
                <c:pt idx="105">
                  <c:v>46.274736199601875</c:v>
                </c:pt>
                <c:pt idx="106">
                  <c:v>47.152866302386762</c:v>
                </c:pt>
                <c:pt idx="107">
                  <c:v>48.038671171863662</c:v>
                </c:pt>
                <c:pt idx="108">
                  <c:v>48.932129547870304</c:v>
                </c:pt>
                <c:pt idx="109">
                  <c:v>49.833220112701213</c:v>
                </c:pt>
                <c:pt idx="110">
                  <c:v>50.741921491530142</c:v>
                </c:pt>
                <c:pt idx="111">
                  <c:v>51.658212252833941</c:v>
                </c:pt>
                <c:pt idx="112">
                  <c:v>52.582070908817876</c:v>
                </c:pt>
                <c:pt idx="113">
                  <c:v>53.513475915842321</c:v>
                </c:pt>
                <c:pt idx="114">
                  <c:v>54.452405674850795</c:v>
                </c:pt>
                <c:pt idx="115">
                  <c:v>55.398838531799292</c:v>
                </c:pt>
                <c:pt idx="116">
                  <c:v>56.352752778086909</c:v>
                </c:pt>
                <c:pt idx="117">
                  <c:v>57.314126650987625</c:v>
                </c:pt>
                <c:pt idx="118">
                  <c:v>58.282938334083319</c:v>
                </c:pt>
                <c:pt idx="119">
                  <c:v>59.259165957697896</c:v>
                </c:pt>
                <c:pt idx="120">
                  <c:v>60.24278759933253</c:v>
                </c:pt>
                <c:pt idx="121">
                  <c:v>61.233781284101966</c:v>
                </c:pt>
                <c:pt idx="122">
                  <c:v>62.232124985171808</c:v>
                </c:pt>
                <c:pt idx="123">
                  <c:v>63.237796624196861</c:v>
                </c:pt>
                <c:pt idx="124">
                  <c:v>64.250774071760361</c:v>
                </c:pt>
                <c:pt idx="125">
                  <c:v>65.271035147814132</c:v>
                </c:pt>
                <c:pt idx="126">
                  <c:v>66.298557622119631</c:v>
                </c:pt>
                <c:pt idx="127">
                  <c:v>67.333319214689794</c:v>
                </c:pt>
                <c:pt idx="128">
                  <c:v>68.375297596231746</c:v>
                </c:pt>
                <c:pt idx="129">
                  <c:v>69.42447038859018</c:v>
                </c:pt>
                <c:pt idx="130">
                  <c:v>70.48081516519153</c:v>
                </c:pt>
                <c:pt idx="131">
                  <c:v>71.544309451488857</c:v>
                </c:pt>
                <c:pt idx="132">
                  <c:v>72.614930725407319</c:v>
                </c:pt>
                <c:pt idx="133">
                  <c:v>73.692656417790317</c:v>
                </c:pt>
                <c:pt idx="134">
                  <c:v>74.777463912846187</c:v>
                </c:pt>
                <c:pt idx="135">
                  <c:v>75.869330548595499</c:v>
                </c:pt>
                <c:pt idx="136">
                  <c:v>76.968233617318845</c:v>
                </c:pt>
                <c:pt idx="137">
                  <c:v>78.074150366005099</c:v>
                </c:pt>
                <c:pt idx="138">
                  <c:v>79.187057996800164</c:v>
                </c:pt>
                <c:pt idx="139">
                  <c:v>80.306933667456079</c:v>
                </c:pt>
                <c:pt idx="140">
                  <c:v>81.433754491780604</c:v>
                </c:pt>
                <c:pt idx="141">
                  <c:v>82.567497540087061</c:v>
                </c:pt>
                <c:pt idx="142">
                  <c:v>83.708139839644559</c:v>
                </c:pt>
                <c:pt idx="143">
                  <c:v>84.855658375128485</c:v>
                </c:pt>
                <c:pt idx="144">
                  <c:v>86.010030089071236</c:v>
                </c:pt>
                <c:pt idx="145">
                  <c:v>87.171231882313208</c:v>
                </c:pt>
                <c:pt idx="146">
                  <c:v>88.339240614453956</c:v>
                </c:pt>
                <c:pt idx="147">
                  <c:v>89.514033104303522</c:v>
                </c:pt>
                <c:pt idx="148">
                  <c:v>90.695586130333879</c:v>
                </c:pt>
                <c:pt idx="149">
                  <c:v>91.883876431130489</c:v>
                </c:pt>
                <c:pt idx="150">
                  <c:v>93.078880705843929</c:v>
                </c:pt>
                <c:pt idx="151">
                  <c:v>94.280576053152885</c:v>
                </c:pt>
                <c:pt idx="152">
                  <c:v>95.488940410499865</c:v>
                </c:pt>
                <c:pt idx="153">
                  <c:v>96.703952116208185</c:v>
                </c:pt>
                <c:pt idx="154">
                  <c:v>97.925589471307063</c:v>
                </c:pt>
                <c:pt idx="155">
                  <c:v>99.153830739944809</c:v>
                </c:pt>
                <c:pt idx="156">
                  <c:v>100.38865414980206</c:v>
                </c:pt>
                <c:pt idx="157">
                  <c:v>101.63003789250509</c:v>
                </c:pt>
                <c:pt idx="158">
                  <c:v>102.87796012403895</c:v>
                </c:pt>
                <c:pt idx="159">
                  <c:v>104.13239896516082</c:v>
                </c:pt>
                <c:pt idx="160">
                  <c:v>105.39333250181311</c:v>
                </c:pt>
                <c:pt idx="161">
                  <c:v>106.66073878553654</c:v>
                </c:pt>
                <c:pt idx="162">
                  <c:v>107.93459583388315</c:v>
                </c:pt>
                <c:pt idx="163">
                  <c:v>109.21488163082908</c:v>
                </c:pt>
                <c:pt idx="164">
                  <c:v>110.50157412718731</c:v>
                </c:pt>
                <c:pt idx="165">
                  <c:v>111.79465124102009</c:v>
                </c:pt>
                <c:pt idx="166">
                  <c:v>113.09409085805129</c:v>
                </c:pt>
                <c:pt idx="167">
                  <c:v>114.39987083207838</c:v>
                </c:pt>
                <c:pt idx="168">
                  <c:v>115.71196898538427</c:v>
                </c:pt>
                <c:pt idx="169">
                  <c:v>117.03036310914881</c:v>
                </c:pt>
                <c:pt idx="170">
                  <c:v>118.35503096385993</c:v>
                </c:pt>
                <c:pt idx="171">
                  <c:v>119.68595027972458</c:v>
                </c:pt>
                <c:pt idx="172">
                  <c:v>121.02309875707918</c:v>
                </c:pt>
                <c:pt idx="173">
                  <c:v>122.36645406679979</c:v>
                </c:pt>
                <c:pt idx="174">
                  <c:v>123.71599385071181</c:v>
                </c:pt>
                <c:pt idx="175">
                  <c:v>125.07169572199929</c:v>
                </c:pt>
                <c:pt idx="176">
                  <c:v>126.43353726561378</c:v>
                </c:pt>
                <c:pt idx="177">
                  <c:v>127.80149603868269</c:v>
                </c:pt>
                <c:pt idx="178">
                  <c:v>129.17554957091718</c:v>
                </c:pt>
                <c:pt idx="179">
                  <c:v>130.55567536501954</c:v>
                </c:pt>
                <c:pt idx="180">
                  <c:v>131.94185089709001</c:v>
                </c:pt>
                <c:pt idx="181">
                  <c:v>133.33405361703299</c:v>
                </c:pt>
                <c:pt idx="182">
                  <c:v>134.73226094896279</c:v>
                </c:pt>
                <c:pt idx="183">
                  <c:v>136.13645029160861</c:v>
                </c:pt>
                <c:pt idx="184">
                  <c:v>137.54659901871912</c:v>
                </c:pt>
                <c:pt idx="185">
                  <c:v>138.96268447946608</c:v>
                </c:pt>
                <c:pt idx="186">
                  <c:v>140.38468399884755</c:v>
                </c:pt>
                <c:pt idx="187">
                  <c:v>141.81257487809032</c:v>
                </c:pt>
                <c:pt idx="188">
                  <c:v>143.24633439505158</c:v>
                </c:pt>
                <c:pt idx="189">
                  <c:v>144.68593980461992</c:v>
                </c:pt>
                <c:pt idx="190">
                  <c:v>146.13136833911557</c:v>
                </c:pt>
                <c:pt idx="191">
                  <c:v>147.5825972086898</c:v>
                </c:pt>
                <c:pt idx="192">
                  <c:v>149.03960360172363</c:v>
                </c:pt>
                <c:pt idx="193">
                  <c:v>150.50236468522559</c:v>
                </c:pt>
                <c:pt idx="194">
                  <c:v>151.97085760522876</c:v>
                </c:pt>
                <c:pt idx="195">
                  <c:v>153.44505948718688</c:v>
                </c:pt>
                <c:pt idx="196">
                  <c:v>154.92494743636971</c:v>
                </c:pt>
                <c:pt idx="197">
                  <c:v>156.41049853825726</c:v>
                </c:pt>
                <c:pt idx="198">
                  <c:v>157.90168985893337</c:v>
                </c:pt>
                <c:pt idx="199">
                  <c:v>159.39849844547814</c:v>
                </c:pt>
                <c:pt idx="200">
                  <c:v>160.90090132635962</c:v>
                </c:pt>
                <c:pt idx="201">
                  <c:v>162.40887551182428</c:v>
                </c:pt>
                <c:pt idx="202">
                  <c:v>163.92239799428671</c:v>
                </c:pt>
                <c:pt idx="203">
                  <c:v>165.44144574871822</c:v>
                </c:pt>
                <c:pt idx="204">
                  <c:v>166.96599573303442</c:v>
                </c:pt>
                <c:pt idx="205">
                  <c:v>168.49602488848168</c:v>
                </c:pt>
                <c:pt idx="206">
                  <c:v>170.03151014002279</c:v>
                </c:pt>
                <c:pt idx="207">
                  <c:v>171.57242839672116</c:v>
                </c:pt>
                <c:pt idx="208">
                  <c:v>173.1187565521243</c:v>
                </c:pt>
                <c:pt idx="209">
                  <c:v>174.67047148464587</c:v>
                </c:pt>
                <c:pt idx="210">
                  <c:v>176.2275500579469</c:v>
                </c:pt>
                <c:pt idx="211">
                  <c:v>177.78996912131555</c:v>
                </c:pt>
                <c:pt idx="212">
                  <c:v>179.35770551004597</c:v>
                </c:pt>
                <c:pt idx="213">
                  <c:v>180.93073604581591</c:v>
                </c:pt>
                <c:pt idx="214">
                  <c:v>182.50903753706299</c:v>
                </c:pt>
                <c:pt idx="215">
                  <c:v>184.09258677935998</c:v>
                </c:pt>
                <c:pt idx="216">
                  <c:v>185.68136055578867</c:v>
                </c:pt>
                <c:pt idx="217">
                  <c:v>187.27533563731268</c:v>
                </c:pt>
                <c:pt idx="218">
                  <c:v>188.87448878314879</c:v>
                </c:pt>
                <c:pt idx="219">
                  <c:v>190.47879674113722</c:v>
                </c:pt>
                <c:pt idx="220">
                  <c:v>192.08823624811043</c:v>
                </c:pt>
                <c:pt idx="221">
                  <c:v>193.70278403026083</c:v>
                </c:pt>
                <c:pt idx="222">
                  <c:v>195.32241680350691</c:v>
                </c:pt>
                <c:pt idx="223">
                  <c:v>196.9471112738583</c:v>
                </c:pt>
                <c:pt idx="224">
                  <c:v>198.57684413777926</c:v>
                </c:pt>
                <c:pt idx="225">
                  <c:v>200.21159208255105</c:v>
                </c:pt>
                <c:pt idx="226">
                  <c:v>201.85133178663267</c:v>
                </c:pt>
                <c:pt idx="227">
                  <c:v>203.49603992002042</c:v>
                </c:pt>
                <c:pt idx="228">
                  <c:v>205.1456931446059</c:v>
                </c:pt>
                <c:pt idx="229">
                  <c:v>206.80026811453277</c:v>
                </c:pt>
                <c:pt idx="230">
                  <c:v>208.4597414765519</c:v>
                </c:pt>
                <c:pt idx="231">
                  <c:v>210.12408987037523</c:v>
                </c:pt>
                <c:pt idx="232">
                  <c:v>211.79328992902808</c:v>
                </c:pt>
                <c:pt idx="233">
                  <c:v>213.46731827920007</c:v>
                </c:pt>
                <c:pt idx="234">
                  <c:v>215.14615154159446</c:v>
                </c:pt>
                <c:pt idx="235">
                  <c:v>216.82976633127618</c:v>
                </c:pt>
                <c:pt idx="236">
                  <c:v>218.51813925801812</c:v>
                </c:pt>
                <c:pt idx="237">
                  <c:v>220.21124692664611</c:v>
                </c:pt>
                <c:pt idx="238">
                  <c:v>221.90906593738234</c:v>
                </c:pt>
                <c:pt idx="239">
                  <c:v>223.61157288618708</c:v>
                </c:pt>
                <c:pt idx="240">
                  <c:v>225.31874436509912</c:v>
                </c:pt>
                <c:pt idx="241">
                  <c:v>227.03055696257442</c:v>
                </c:pt>
                <c:pt idx="242">
                  <c:v>228.74698726382334</c:v>
                </c:pt>
                <c:pt idx="243">
                  <c:v>230.46801185114617</c:v>
                </c:pt>
                <c:pt idx="244">
                  <c:v>232.19360730426726</c:v>
                </c:pt>
                <c:pt idx="245">
                  <c:v>233.92375020066734</c:v>
                </c:pt>
                <c:pt idx="246">
                  <c:v>235.65841711591429</c:v>
                </c:pt>
                <c:pt idx="247">
                  <c:v>237.39758462399246</c:v>
                </c:pt>
                <c:pt idx="248">
                  <c:v>239.14122929763008</c:v>
                </c:pt>
                <c:pt idx="249">
                  <c:v>240.88932770862525</c:v>
                </c:pt>
                <c:pt idx="250">
                  <c:v>242.64185642817023</c:v>
                </c:pt>
                <c:pt idx="251">
                  <c:v>244.39879013416561</c:v>
                </c:pt>
                <c:pt idx="252">
                  <c:v>246.1600997189361</c:v>
                </c:pt>
                <c:pt idx="253">
                  <c:v>247.92575418464855</c:v>
                </c:pt>
                <c:pt idx="254">
                  <c:v>249.69572253839024</c:v>
                </c:pt>
                <c:pt idx="255">
                  <c:v>251.4699737926141</c:v>
                </c:pt>
                <c:pt idx="256">
                  <c:v>253.24847696558112</c:v>
                </c:pt>
                <c:pt idx="257">
                  <c:v>255.03120108179979</c:v>
                </c:pt>
                <c:pt idx="258">
                  <c:v>256.81811517246263</c:v>
                </c:pt>
                <c:pt idx="259">
                  <c:v>258.60918827587949</c:v>
                </c:pt>
                <c:pt idx="260">
                  <c:v>260.40438943790843</c:v>
                </c:pt>
                <c:pt idx="261">
                  <c:v>262.20368771238293</c:v>
                </c:pt>
                <c:pt idx="262">
                  <c:v>264.00705216153665</c:v>
                </c:pt>
                <c:pt idx="263">
                  <c:v>265.81445185642491</c:v>
                </c:pt>
                <c:pt idx="264">
                  <c:v>267.62585587734321</c:v>
                </c:pt>
                <c:pt idx="265">
                  <c:v>269.44123331424288</c:v>
                </c:pt>
                <c:pt idx="266">
                  <c:v>271.26055326714345</c:v>
                </c:pt>
                <c:pt idx="267">
                  <c:v>273.08378484654213</c:v>
                </c:pt>
                <c:pt idx="268">
                  <c:v>274.91089717382022</c:v>
                </c:pt>
                <c:pt idx="269">
                  <c:v>276.74185938164652</c:v>
                </c:pt>
                <c:pt idx="270">
                  <c:v>278.57664061437765</c:v>
                </c:pt>
                <c:pt idx="271">
                  <c:v>280.41521002845525</c:v>
                </c:pt>
                <c:pt idx="272">
                  <c:v>282.25753679280018</c:v>
                </c:pt>
                <c:pt idx="273">
                  <c:v>284.10359008920358</c:v>
                </c:pt>
                <c:pt idx="274">
                  <c:v>285.95333911271501</c:v>
                </c:pt>
                <c:pt idx="275">
                  <c:v>287.80675307202728</c:v>
                </c:pt>
                <c:pt idx="276">
                  <c:v>289.66380118985836</c:v>
                </c:pt>
                <c:pt idx="277">
                  <c:v>291.52445270333016</c:v>
                </c:pt>
                <c:pt idx="278">
                  <c:v>293.38867686434401</c:v>
                </c:pt>
                <c:pt idx="279">
                  <c:v>295.2564429399535</c:v>
                </c:pt>
                <c:pt idx="280">
                  <c:v>297.12772021273372</c:v>
                </c:pt>
                <c:pt idx="281">
                  <c:v>299.00247798114771</c:v>
                </c:pt>
                <c:pt idx="282">
                  <c:v>300.88068555990958</c:v>
                </c:pt>
                <c:pt idx="283">
                  <c:v>302.7623122803447</c:v>
                </c:pt>
                <c:pt idx="284">
                  <c:v>304.6473274907467</c:v>
                </c:pt>
                <c:pt idx="285">
                  <c:v>306.53570055673129</c:v>
                </c:pt>
                <c:pt idx="286">
                  <c:v>308.4274008615871</c:v>
                </c:pt>
                <c:pt idx="287">
                  <c:v>310.32239780662326</c:v>
                </c:pt>
                <c:pt idx="288">
                  <c:v>312.22066081151388</c:v>
                </c:pt>
                <c:pt idx="289">
                  <c:v>314.12215931463948</c:v>
                </c:pt>
                <c:pt idx="290">
                  <c:v>316.02686277342514</c:v>
                </c:pt>
                <c:pt idx="291">
                  <c:v>317.93474066467581</c:v>
                </c:pt>
                <c:pt idx="292">
                  <c:v>319.84576248490816</c:v>
                </c:pt>
                <c:pt idx="293">
                  <c:v>321.7598977506795</c:v>
                </c:pt>
                <c:pt idx="294">
                  <c:v>323.67711599891351</c:v>
                </c:pt>
                <c:pt idx="295">
                  <c:v>325.59738678722289</c:v>
                </c:pt>
                <c:pt idx="296">
                  <c:v>327.52067969422876</c:v>
                </c:pt>
                <c:pt idx="297">
                  <c:v>329.44696431987722</c:v>
                </c:pt>
                <c:pt idx="298">
                  <c:v>331.3761895080861</c:v>
                </c:pt>
                <c:pt idx="299">
                  <c:v>333.30826258258429</c:v>
                </c:pt>
                <c:pt idx="300">
                  <c:v>335.24307016300037</c:v>
                </c:pt>
                <c:pt idx="301">
                  <c:v>337.1804989688448</c:v>
                </c:pt>
                <c:pt idx="302">
                  <c:v>339.12043582197754</c:v>
                </c:pt>
                <c:pt idx="303">
                  <c:v>341.0627676490372</c:v>
                </c:pt>
                <c:pt idx="304">
                  <c:v>343.0073814838313</c:v>
                </c:pt>
                <c:pt idx="305">
                  <c:v>344.95416446968767</c:v>
                </c:pt>
                <c:pt idx="306">
                  <c:v>346.90300386176767</c:v>
                </c:pt>
                <c:pt idx="307">
                  <c:v>348.85378702934025</c:v>
                </c:pt>
                <c:pt idx="308">
                  <c:v>350.80640145801783</c:v>
                </c:pt>
                <c:pt idx="309">
                  <c:v>352.76073475195312</c:v>
                </c:pt>
                <c:pt idx="310">
                  <c:v>354.71667463599795</c:v>
                </c:pt>
                <c:pt idx="311">
                  <c:v>356.67410895782319</c:v>
                </c:pt>
                <c:pt idx="312">
                  <c:v>358.63292569000038</c:v>
                </c:pt>
                <c:pt idx="313">
                  <c:v>360.59301293204504</c:v>
                </c:pt>
                <c:pt idx="314">
                  <c:v>362.55425891242163</c:v>
                </c:pt>
                <c:pt idx="315">
                  <c:v>364.51655199051027</c:v>
                </c:pt>
                <c:pt idx="316">
                  <c:v>366.47978065853539</c:v>
                </c:pt>
                <c:pt idx="317">
                  <c:v>368.44383354345621</c:v>
                </c:pt>
                <c:pt idx="318">
                  <c:v>370.40859940881944</c:v>
                </c:pt>
                <c:pt idx="319">
                  <c:v>372.37396715657383</c:v>
                </c:pt>
                <c:pt idx="320">
                  <c:v>374.33982582884727</c:v>
                </c:pt>
                <c:pt idx="321">
                  <c:v>376.30607287185467</c:v>
                </c:pt>
                <c:pt idx="322">
                  <c:v>378.27262238995047</c:v>
                </c:pt>
                <c:pt idx="323">
                  <c:v>380.23939686296978</c:v>
                </c:pt>
                <c:pt idx="324">
                  <c:v>382.20631887292132</c:v>
                </c:pt>
                <c:pt idx="325">
                  <c:v>384.17331110472998</c:v>
                </c:pt>
                <c:pt idx="326">
                  <c:v>386.14029634696135</c:v>
                </c:pt>
                <c:pt idx="327">
                  <c:v>388.10719749252803</c:v>
                </c:pt>
                <c:pt idx="328">
                  <c:v>390.07393753937794</c:v>
                </c:pt>
                <c:pt idx="329">
                  <c:v>392.04043959116484</c:v>
                </c:pt>
                <c:pt idx="330">
                  <c:v>394.00662685790115</c:v>
                </c:pt>
                <c:pt idx="331">
                  <c:v>395.9724226565927</c:v>
                </c:pt>
                <c:pt idx="332">
                  <c:v>397.93775041185631</c:v>
                </c:pt>
                <c:pt idx="333">
                  <c:v>399.90253365651938</c:v>
                </c:pt>
                <c:pt idx="334">
                  <c:v>401.86669603220236</c:v>
                </c:pt>
                <c:pt idx="335">
                  <c:v>403.83016128988368</c:v>
                </c:pt>
                <c:pt idx="336">
                  <c:v>405.79285329044751</c:v>
                </c:pt>
                <c:pt idx="337">
                  <c:v>407.75469600521433</c:v>
                </c:pt>
                <c:pt idx="338">
                  <c:v>409.71561351645437</c:v>
                </c:pt>
                <c:pt idx="339">
                  <c:v>411.67553001788417</c:v>
                </c:pt>
                <c:pt idx="340">
                  <c:v>413.63436981514604</c:v>
                </c:pt>
                <c:pt idx="341">
                  <c:v>415.59205732627117</c:v>
                </c:pt>
                <c:pt idx="342">
                  <c:v>417.54851708212544</c:v>
                </c:pt>
                <c:pt idx="343">
                  <c:v>419.50367372683928</c:v>
                </c:pt>
                <c:pt idx="344">
                  <c:v>421.45745201822058</c:v>
                </c:pt>
                <c:pt idx="345">
                  <c:v>423.40977682815139</c:v>
                </c:pt>
                <c:pt idx="346">
                  <c:v>425.36057314296841</c:v>
                </c:pt>
                <c:pt idx="347">
                  <c:v>427.30976606382723</c:v>
                </c:pt>
                <c:pt idx="348">
                  <c:v>429.25728169790193</c:v>
                </c:pt>
                <c:pt idx="349">
                  <c:v>431.20304804816152</c:v>
                </c:pt>
                <c:pt idx="350">
                  <c:v>433.1469941199469</c:v>
                </c:pt>
                <c:pt idx="351">
                  <c:v>435.08904902891459</c:v>
                </c:pt>
                <c:pt idx="352">
                  <c:v>437.02914200127179</c:v>
                </c:pt>
                <c:pt idx="353">
                  <c:v>438.96720237399734</c:v>
                </c:pt>
                <c:pt idx="354">
                  <c:v>440.90315959504875</c:v>
                </c:pt>
                <c:pt idx="355">
                  <c:v>442.83694322355575</c:v>
                </c:pt>
                <c:pt idx="356">
                  <c:v>444.76848292999966</c:v>
                </c:pt>
                <c:pt idx="357">
                  <c:v>446.69770849637956</c:v>
                </c:pt>
                <c:pt idx="358">
                  <c:v>448.62454981636472</c:v>
                </c:pt>
                <c:pt idx="359">
                  <c:v>450.54893689543383</c:v>
                </c:pt>
                <c:pt idx="360">
                  <c:v>452.47081837643316</c:v>
                </c:pt>
                <c:pt idx="361">
                  <c:v>454.39018003335008</c:v>
                </c:pt>
                <c:pt idx="362">
                  <c:v>456.30702618280026</c:v>
                </c:pt>
                <c:pt idx="363">
                  <c:v>458.22136112726434</c:v>
                </c:pt>
                <c:pt idx="364">
                  <c:v>460.13318915514901</c:v>
                </c:pt>
                <c:pt idx="365">
                  <c:v>462.04251454084726</c:v>
                </c:pt>
                <c:pt idx="366">
                  <c:v>463.94934154479887</c:v>
                </c:pt>
                <c:pt idx="367">
                  <c:v>465.8536744135501</c:v>
                </c:pt>
                <c:pt idx="368">
                  <c:v>467.7555173798134</c:v>
                </c:pt>
                <c:pt idx="369">
                  <c:v>469.65487466252665</c:v>
                </c:pt>
                <c:pt idx="370">
                  <c:v>471.55175046691193</c:v>
                </c:pt>
                <c:pt idx="371">
                  <c:v>473.44614898453426</c:v>
                </c:pt>
                <c:pt idx="372">
                  <c:v>475.33807439335988</c:v>
                </c:pt>
                <c:pt idx="373">
                  <c:v>477.2275308578142</c:v>
                </c:pt>
                <c:pt idx="374">
                  <c:v>479.11452252883942</c:v>
                </c:pt>
                <c:pt idx="375">
                  <c:v>480.99905354395185</c:v>
                </c:pt>
                <c:pt idx="376">
                  <c:v>482.88112802729916</c:v>
                </c:pt>
                <c:pt idx="377">
                  <c:v>484.76075008971679</c:v>
                </c:pt>
                <c:pt idx="378">
                  <c:v>486.63792382878466</c:v>
                </c:pt>
                <c:pt idx="379">
                  <c:v>488.51265332888318</c:v>
                </c:pt>
                <c:pt idx="380">
                  <c:v>490.38494266124894</c:v>
                </c:pt>
                <c:pt idx="381">
                  <c:v>492.2547958840305</c:v>
                </c:pt>
                <c:pt idx="382">
                  <c:v>494.12221704234344</c:v>
                </c:pt>
                <c:pt idx="383">
                  <c:v>495.98721016832525</c:v>
                </c:pt>
                <c:pt idx="384">
                  <c:v>497.84977928119014</c:v>
                </c:pt>
                <c:pt idx="385">
                  <c:v>499.70992838728318</c:v>
                </c:pt>
                <c:pt idx="386">
                  <c:v>501.56766148013463</c:v>
                </c:pt>
                <c:pt idx="387">
                  <c:v>503.42298254051337</c:v>
                </c:pt>
                <c:pt idx="388">
                  <c:v>505.27589553648062</c:v>
                </c:pt>
                <c:pt idx="389">
                  <c:v>507.12640442344309</c:v>
                </c:pt>
                <c:pt idx="390">
                  <c:v>508.9745131442059</c:v>
                </c:pt>
                <c:pt idx="391">
                  <c:v>510.82022562902512</c:v>
                </c:pt>
                <c:pt idx="392">
                  <c:v>512.66354579566018</c:v>
                </c:pt>
                <c:pt idx="393">
                  <c:v>514.50447754942616</c:v>
                </c:pt>
                <c:pt idx="394">
                  <c:v>516.34302478324514</c:v>
                </c:pt>
                <c:pt idx="395">
                  <c:v>518.1791913776982</c:v>
                </c:pt>
                <c:pt idx="396">
                  <c:v>520.01298120107629</c:v>
                </c:pt>
                <c:pt idx="397">
                  <c:v>521.84439810943161</c:v>
                </c:pt>
                <c:pt idx="398">
                  <c:v>523.67344594662791</c:v>
                </c:pt>
                <c:pt idx="399">
                  <c:v>525.50012854439126</c:v>
                </c:pt>
                <c:pt idx="400">
                  <c:v>527.32444972236021</c:v>
                </c:pt>
                <c:pt idx="401">
                  <c:v>545.43807836727581</c:v>
                </c:pt>
                <c:pt idx="402">
                  <c:v>563.31801671721007</c:v>
                </c:pt>
                <c:pt idx="403">
                  <c:v>580.96796810169803</c:v>
                </c:pt>
                <c:pt idx="404">
                  <c:v>598.39152148103028</c:v>
                </c:pt>
                <c:pt idx="405">
                  <c:v>615.59215602771917</c:v>
                </c:pt>
                <c:pt idx="406">
                  <c:v>632.57324547682322</c:v>
                </c:pt>
                <c:pt idx="407">
                  <c:v>649.33806225903595</c:v>
                </c:pt>
                <c:pt idx="408">
                  <c:v>665.88978142947497</c:v>
                </c:pt>
                <c:pt idx="409">
                  <c:v>682.2314844042121</c:v>
                </c:pt>
                <c:pt idx="410">
                  <c:v>698.36616251576254</c:v>
                </c:pt>
                <c:pt idx="411">
                  <c:v>714.29672039798982</c:v>
                </c:pt>
                <c:pt idx="412">
                  <c:v>730.02597921018184</c:v>
                </c:pt>
                <c:pt idx="413">
                  <c:v>745.55667970940715</c:v>
                </c:pt>
                <c:pt idx="414">
                  <c:v>760.89148517965725</c:v>
                </c:pt>
                <c:pt idx="415">
                  <c:v>776.0329842257313</c:v>
                </c:pt>
                <c:pt idx="416">
                  <c:v>790.98369343930221</c:v>
                </c:pt>
                <c:pt idx="417">
                  <c:v>805.74605994412923</c:v>
                </c:pt>
                <c:pt idx="418">
                  <c:v>820.32246382694041</c:v>
                </c:pt>
                <c:pt idx="419">
                  <c:v>834.71522046009909</c:v>
                </c:pt>
                <c:pt idx="420">
                  <c:v>848.92658272178778</c:v>
                </c:pt>
                <c:pt idx="421">
                  <c:v>862.95874311909051</c:v>
                </c:pt>
                <c:pt idx="422">
                  <c:v>876.81383581902401</c:v>
                </c:pt>
                <c:pt idx="423">
                  <c:v>890.49393859226484</c:v>
                </c:pt>
                <c:pt idx="424">
                  <c:v>904.00107467403234</c:v>
                </c:pt>
                <c:pt idx="425">
                  <c:v>917.33721454632359</c:v>
                </c:pt>
                <c:pt idx="426">
                  <c:v>930.50427764544861</c:v>
                </c:pt>
                <c:pt idx="427">
                  <c:v>943.50413399858189</c:v>
                </c:pt>
                <c:pt idx="428">
                  <c:v>956.33860579283362</c:v>
                </c:pt>
                <c:pt idx="429">
                  <c:v>969.00946888013937</c:v>
                </c:pt>
                <c:pt idx="430">
                  <c:v>981.51845422108147</c:v>
                </c:pt>
                <c:pt idx="431">
                  <c:v>993.86724927057753</c:v>
                </c:pt>
                <c:pt idx="432">
                  <c:v>1006.0574993082076</c:v>
                </c:pt>
                <c:pt idx="433">
                  <c:v>1018.0908087157979</c:v>
                </c:pt>
                <c:pt idx="434">
                  <c:v>1029.9687422047332</c:v>
                </c:pt>
                <c:pt idx="435">
                  <c:v>1041.6928259953349</c:v>
                </c:pt>
                <c:pt idx="436">
                  <c:v>1053.2645489505169</c:v>
                </c:pt>
                <c:pt idx="437">
                  <c:v>1064.6853636658079</c:v>
                </c:pt>
                <c:pt idx="438">
                  <c:v>1075.9566875177225</c:v>
                </c:pt>
                <c:pt idx="439">
                  <c:v>1087.0799036723531</c:v>
                </c:pt>
                <c:pt idx="440">
                  <c:v>1098.0563620559594</c:v>
                </c:pt>
                <c:pt idx="441">
                  <c:v>1108.8873802892376</c:v>
                </c:pt>
                <c:pt idx="442">
                  <c:v>1119.5742445868666</c:v>
                </c:pt>
                <c:pt idx="443">
                  <c:v>1130.1182106238407</c:v>
                </c:pt>
                <c:pt idx="444">
                  <c:v>1140.5205043700298</c:v>
                </c:pt>
                <c:pt idx="445">
                  <c:v>1150.7823228943264</c:v>
                </c:pt>
                <c:pt idx="446">
                  <c:v>1160.9048351396739</c:v>
                </c:pt>
                <c:pt idx="447">
                  <c:v>1170.8891826702093</c:v>
                </c:pt>
                <c:pt idx="448">
                  <c:v>1180.7364803916842</c:v>
                </c:pt>
                <c:pt idx="449">
                  <c:v>1190.4478172462782</c:v>
                </c:pt>
                <c:pt idx="450">
                  <c:v>1200.0242568828603</c:v>
                </c:pt>
                <c:pt idx="451">
                  <c:v>1209.4668383037028</c:v>
                </c:pt>
                <c:pt idx="452">
                  <c:v>1218.7765764886051</c:v>
                </c:pt>
                <c:pt idx="453">
                  <c:v>1227.9544629973373</c:v>
                </c:pt>
                <c:pt idx="454">
                  <c:v>1237.0014665512708</c:v>
                </c:pt>
                <c:pt idx="455">
                  <c:v>1245.9185335950233</c:v>
                </c:pt>
                <c:pt idx="456">
                  <c:v>1254.7065888389029</c:v>
                </c:pt>
                <c:pt idx="457">
                  <c:v>1263.366535782905</c:v>
                </c:pt>
                <c:pt idx="458">
                  <c:v>1271.8992572229745</c:v>
                </c:pt>
                <c:pt idx="459">
                  <c:v>1280.3056157402184</c:v>
                </c:pt>
                <c:pt idx="460">
                  <c:v>1288.586454173718</c:v>
                </c:pt>
                <c:pt idx="461">
                  <c:v>1296.7425960775645</c:v>
                </c:pt>
                <c:pt idx="462">
                  <c:v>1304.7748461627093</c:v>
                </c:pt>
                <c:pt idx="463">
                  <c:v>1312.6839907241972</c:v>
                </c:pt>
                <c:pt idx="464">
                  <c:v>1320.470798054324</c:v>
                </c:pt>
                <c:pt idx="465">
                  <c:v>1328.1360188422348</c:v>
                </c:pt>
                <c:pt idx="466">
                  <c:v>1335.6803865604588</c:v>
                </c:pt>
                <c:pt idx="467">
                  <c:v>1343.1046178388526</c:v>
                </c:pt>
                <c:pt idx="468">
                  <c:v>1350.4094128264042</c:v>
                </c:pt>
                <c:pt idx="469">
                  <c:v>1357.5954555413316</c:v>
                </c:pt>
                <c:pt idx="470">
                  <c:v>1364.6634142098881</c:v>
                </c:pt>
                <c:pt idx="471">
                  <c:v>1371.6139415942719</c:v>
                </c:pt>
                <c:pt idx="472">
                  <c:v>1378.4476753100193</c:v>
                </c:pt>
                <c:pt idx="473">
                  <c:v>1385.1652381332449</c:v>
                </c:pt>
                <c:pt idx="474">
                  <c:v>1391.7672382980757</c:v>
                </c:pt>
                <c:pt idx="475">
                  <c:v>1398.2542697846154</c:v>
                </c:pt>
                <c:pt idx="476">
                  <c:v>1404.6269125977569</c:v>
                </c:pt>
                <c:pt idx="477">
                  <c:v>1410.8857330371502</c:v>
                </c:pt>
                <c:pt idx="478">
                  <c:v>1417.0312839586193</c:v>
                </c:pt>
                <c:pt idx="479">
                  <c:v>1423.0641050273132</c:v>
                </c:pt>
                <c:pt idx="480">
                  <c:v>1428.9847229628592</c:v>
                </c:pt>
                <c:pt idx="481">
                  <c:v>1434.7936517767803</c:v>
                </c:pt>
                <c:pt idx="482">
                  <c:v>1440.4913930024272</c:v>
                </c:pt>
                <c:pt idx="483">
                  <c:v>1446.0784359176666</c:v>
                </c:pt>
                <c:pt idx="484">
                  <c:v>1451.5552577605542</c:v>
                </c:pt>
                <c:pt idx="485">
                  <c:v>1456.9223239382197</c:v>
                </c:pt>
                <c:pt idx="486">
                  <c:v>1462.1800882291759</c:v>
                </c:pt>
                <c:pt idx="487">
                  <c:v>1467.3289929792591</c:v>
                </c:pt>
                <c:pt idx="488">
                  <c:v>1472.3694692914037</c:v>
                </c:pt>
                <c:pt idx="489">
                  <c:v>1477.3019372094404</c:v>
                </c:pt>
                <c:pt idx="490">
                  <c:v>1482.12680589611</c:v>
                </c:pt>
                <c:pt idx="491">
                  <c:v>1486.8444738054689</c:v>
                </c:pt>
                <c:pt idx="492">
                  <c:v>1491.4553288498685</c:v>
                </c:pt>
                <c:pt idx="493">
                  <c:v>1495.9597485616762</c:v>
                </c:pt>
                <c:pt idx="494">
                  <c:v>1500.3581002499068</c:v>
                </c:pt>
                <c:pt idx="495">
                  <c:v>1504.6507411519306</c:v>
                </c:pt>
                <c:pt idx="496">
                  <c:v>1508.8380185804156</c:v>
                </c:pt>
                <c:pt idx="497">
                  <c:v>1512.9202700656681</c:v>
                </c:pt>
                <c:pt idx="498">
                  <c:v>1516.8978234935262</c:v>
                </c:pt>
                <c:pt idx="499">
                  <c:v>1520.7709972389648</c:v>
                </c:pt>
                <c:pt idx="500">
                  <c:v>1524.5401002955725</c:v>
                </c:pt>
                <c:pt idx="501">
                  <c:v>1528.2054324010578</c:v>
                </c:pt>
                <c:pt idx="502">
                  <c:v>1531.7672841589506</c:v>
                </c:pt>
                <c:pt idx="503">
                  <c:v>1535.2259371566652</c:v>
                </c:pt>
                <c:pt idx="504">
                  <c:v>1538.5816640801013</c:v>
                </c:pt>
                <c:pt idx="505">
                  <c:v>1541.8347288249654</c:v>
                </c:pt>
                <c:pt idx="506">
                  <c:v>1544.9853866050082</c:v>
                </c:pt>
                <c:pt idx="507">
                  <c:v>1548.0338840573879</c:v>
                </c:pt>
                <c:pt idx="508">
                  <c:v>1550.980459345386</c:v>
                </c:pt>
                <c:pt idx="509">
                  <c:v>1553.8253422587272</c:v>
                </c:pt>
                <c:pt idx="510">
                  <c:v>1556.5687543117826</c:v>
                </c:pt>
                <c:pt idx="511">
                  <c:v>1559.2109088399668</c:v>
                </c:pt>
                <c:pt idx="512">
                  <c:v>1561.7520110946868</c:v>
                </c:pt>
                <c:pt idx="513">
                  <c:v>1564.1922583372518</c:v>
                </c:pt>
                <c:pt idx="514">
                  <c:v>1566.5318399322139</c:v>
                </c:pt>
                <c:pt idx="515">
                  <c:v>1568.7709374406902</c:v>
                </c:pt>
                <c:pt idx="516">
                  <c:v>1570.9097247143147</c:v>
                </c:pt>
                <c:pt idx="517">
                  <c:v>1572.9483679905788</c:v>
                </c:pt>
                <c:pt idx="518">
                  <c:v>1574.8870259904668</c:v>
                </c:pt>
                <c:pt idx="519">
                  <c:v>1576.7258500194598</c:v>
                </c:pt>
                <c:pt idx="520">
                  <c:v>1578.4649840731915</c:v>
                </c:pt>
                <c:pt idx="521">
                  <c:v>1580.1045649492842</c:v>
                </c:pt>
                <c:pt idx="522">
                  <c:v>1581.6447223671933</c:v>
                </c:pt>
                <c:pt idx="523">
                  <c:v>1583.0855790982318</c:v>
                </c:pt>
                <c:pt idx="524">
                  <c:v>1584.4272511083532</c:v>
                </c:pt>
                <c:pt idx="525">
                  <c:v>1585.6698477167274</c:v>
                </c:pt>
                <c:pt idx="526">
                  <c:v>1586.8134717736511</c:v>
                </c:pt>
                <c:pt idx="527">
                  <c:v>1587.8582198618694</c:v>
                </c:pt>
                <c:pt idx="528">
                  <c:v>1588.8041825259133</c:v>
                </c:pt>
                <c:pt idx="529">
                  <c:v>1589.6514445345299</c:v>
                </c:pt>
                <c:pt idx="530">
                  <c:v>1590.400085181604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B-6442-AFEC-07E56791BA28}"/>
            </c:ext>
          </c:extLst>
        </c:ser>
        <c:ser>
          <c:idx val="6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Trajecto!$D$155</c:f>
              <c:numCache>
                <c:formatCode>0</c:formatCode>
                <c:ptCount val="1"/>
                <c:pt idx="0">
                  <c:v>68.721503405688026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795.20004259080201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B-6442-AFEC-07E56791BA28}"/>
            </c:ext>
          </c:extLst>
        </c:ser>
        <c:ser>
          <c:idx val="7"/>
          <c:order val="6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Trajecto!$D$156</c:f>
              <c:numCache>
                <c:formatCode>0</c:formatCode>
                <c:ptCount val="1"/>
                <c:pt idx="0">
                  <c:v>438.44692250142111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796.44243283868036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3B-6442-AFEC-07E56791BA28}"/>
            </c:ext>
          </c:extLst>
        </c:ser>
        <c:ser>
          <c:idx val="8"/>
          <c:order val="7"/>
          <c:tx>
            <c:strRef>
              <c:f>Trajecto!$D$158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8"/>
              <c:tx>
                <c:strRef>
                  <c:f>Trajecto!$D$158</c:f>
                  <c:strCache>
                    <c:ptCount val="1"/>
                    <c:pt idx="0">
                      <c:v>Arc de triomphe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{E4B8DAF5-1EDE-4431-97F5-889989B4040A}</c15:txfldGUID>
                      <c15:f>Trajecto!$D$158</c15:f>
                      <c15:dlblFieldTableCache>
                        <c:ptCount val="1"/>
                        <c:pt idx="0">
                          <c:v>Arc de triomphe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Trajecto!$D$159:$D$174</c:f>
              <c:numCache>
                <c:formatCode>0</c:formatCode>
                <c:ptCount val="16"/>
                <c:pt idx="0">
                  <c:v>284.89054070065004</c:v>
                </c:pt>
                <c:pt idx="1">
                  <c:v>307.89054070065004</c:v>
                </c:pt>
                <c:pt idx="2">
                  <c:v>307.89054070065004</c:v>
                </c:pt>
                <c:pt idx="3">
                  <c:v>284.89054070065004</c:v>
                </c:pt>
                <c:pt idx="4">
                  <c:v>307.89054070065004</c:v>
                </c:pt>
                <c:pt idx="5">
                  <c:v>307.89054070065004</c:v>
                </c:pt>
                <c:pt idx="6">
                  <c:v>292.89054070065004</c:v>
                </c:pt>
                <c:pt idx="7">
                  <c:v>292.89054070065004</c:v>
                </c:pt>
                <c:pt idx="8">
                  <c:v>307.89054070065004</c:v>
                </c:pt>
                <c:pt idx="9">
                  <c:v>292.89054070065004</c:v>
                </c:pt>
                <c:pt idx="10">
                  <c:v>292.49054070065006</c:v>
                </c:pt>
                <c:pt idx="11">
                  <c:v>291.69054070065005</c:v>
                </c:pt>
                <c:pt idx="12">
                  <c:v>290.89054070065004</c:v>
                </c:pt>
                <c:pt idx="13">
                  <c:v>289.89054070065004</c:v>
                </c:pt>
                <c:pt idx="14">
                  <c:v>288.69054070065005</c:v>
                </c:pt>
                <c:pt idx="15">
                  <c:v>284.89054070065004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3B-6442-AFEC-07E56791BA28}"/>
            </c:ext>
          </c:extLst>
        </c:ser>
        <c:ser>
          <c:idx val="9"/>
          <c:order val="8"/>
          <c:tx>
            <c:strRef>
              <c:f>Trajecto!$F$158</c:f>
              <c:strCache>
                <c:ptCount val="1"/>
                <c:pt idx="0">
                  <c:v>Arc de triomphe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Trajecto!$F$159:$F$174</c:f>
              <c:numCache>
                <c:formatCode>0</c:formatCode>
                <c:ptCount val="16"/>
                <c:pt idx="0">
                  <c:v>284.89054070065004</c:v>
                </c:pt>
                <c:pt idx="1">
                  <c:v>261.89054070065004</c:v>
                </c:pt>
                <c:pt idx="2">
                  <c:v>261.89054070065004</c:v>
                </c:pt>
                <c:pt idx="3">
                  <c:v>284.89054070065004</c:v>
                </c:pt>
                <c:pt idx="4">
                  <c:v>261.89054070065004</c:v>
                </c:pt>
                <c:pt idx="5">
                  <c:v>261.89054070065004</c:v>
                </c:pt>
                <c:pt idx="6">
                  <c:v>276.89054070065004</c:v>
                </c:pt>
                <c:pt idx="7">
                  <c:v>276.89054070065004</c:v>
                </c:pt>
                <c:pt idx="8">
                  <c:v>261.89054070065004</c:v>
                </c:pt>
                <c:pt idx="9">
                  <c:v>276.89054070065004</c:v>
                </c:pt>
                <c:pt idx="10">
                  <c:v>277.29054070065001</c:v>
                </c:pt>
                <c:pt idx="11">
                  <c:v>278.09054070065002</c:v>
                </c:pt>
                <c:pt idx="12">
                  <c:v>278.89054070065004</c:v>
                </c:pt>
                <c:pt idx="13">
                  <c:v>279.89054070065004</c:v>
                </c:pt>
                <c:pt idx="14">
                  <c:v>281.09054070065002</c:v>
                </c:pt>
                <c:pt idx="15">
                  <c:v>284.89054070065004</c:v>
                </c:pt>
              </c:numCache>
            </c:numRef>
          </c:xVal>
          <c:yVal>
            <c:numRef>
              <c:f>Trajecto!$B$161:$B$176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3B-6442-AFEC-07E56791BA28}"/>
            </c:ext>
          </c:extLst>
        </c:ser>
        <c:ser>
          <c:idx val="10"/>
          <c:order val="9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dLbls>
            <c:dLbl>
              <c:idx val="6"/>
              <c:tx>
                <c:strRef>
                  <c:f>Trajecto!$D$176</c:f>
                  <c:strCache>
                    <c:ptCount val="1"/>
                    <c:pt idx="0">
                      <c:v>Tour Eiffel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0" i="0" u="none" strike="noStrike" baseline="0">
                      <a:solidFill>
                        <a:srgbClr val="C0C0C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{9E81D5C1-055B-4F13-945A-A130036E2B53}</c15:txfldGUID>
                      <c15:f>Trajecto!$D$176</c15:f>
                      <c15:dlblFieldTableCache>
                        <c:ptCount val="1"/>
                        <c:pt idx="0">
                          <c:v>Tour Eiffel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Trajecto!$D$177:$D$193</c:f>
              <c:numCache>
                <c:formatCode>0</c:formatCode>
                <c:ptCount val="17"/>
                <c:pt idx="0">
                  <c:v>284.89054070065004</c:v>
                </c:pt>
                <c:pt idx="1">
                  <c:v>284.89054070065004</c:v>
                </c:pt>
                <c:pt idx="2">
                  <c:v>294.89054070065004</c:v>
                </c:pt>
                <c:pt idx="3">
                  <c:v>284.89054070065004</c:v>
                </c:pt>
                <c:pt idx="4">
                  <c:v>294.89054070065004</c:v>
                </c:pt>
                <c:pt idx="5">
                  <c:v>297.89054070065004</c:v>
                </c:pt>
                <c:pt idx="6">
                  <c:v>301.89054070065004</c:v>
                </c:pt>
                <c:pt idx="7">
                  <c:v>304.89054070065004</c:v>
                </c:pt>
                <c:pt idx="8">
                  <c:v>309.89054070065004</c:v>
                </c:pt>
                <c:pt idx="9">
                  <c:v>314.89054070065004</c:v>
                </c:pt>
                <c:pt idx="10">
                  <c:v>320.89054070065004</c:v>
                </c:pt>
                <c:pt idx="11">
                  <c:v>332.89054070065004</c:v>
                </c:pt>
                <c:pt idx="12">
                  <c:v>346.89054070065004</c:v>
                </c:pt>
                <c:pt idx="13">
                  <c:v>321.89054070065004</c:v>
                </c:pt>
                <c:pt idx="14">
                  <c:v>314.89054070065004</c:v>
                </c:pt>
                <c:pt idx="15">
                  <c:v>299.89054070065004</c:v>
                </c:pt>
                <c:pt idx="16">
                  <c:v>284.89054070065004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B3B-6442-AFEC-07E56791BA28}"/>
            </c:ext>
          </c:extLst>
        </c:ser>
        <c:ser>
          <c:idx val="11"/>
          <c:order val="10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Trajecto!$F$177:$F$193</c:f>
              <c:numCache>
                <c:formatCode>0</c:formatCode>
                <c:ptCount val="17"/>
                <c:pt idx="0">
                  <c:v>284.89054070065004</c:v>
                </c:pt>
                <c:pt idx="1">
                  <c:v>284.89054070065004</c:v>
                </c:pt>
                <c:pt idx="2">
                  <c:v>274.89054070065004</c:v>
                </c:pt>
                <c:pt idx="3">
                  <c:v>284.89054070065004</c:v>
                </c:pt>
                <c:pt idx="4">
                  <c:v>274.89054070065004</c:v>
                </c:pt>
                <c:pt idx="5">
                  <c:v>271.89054070065004</c:v>
                </c:pt>
                <c:pt idx="6">
                  <c:v>267.89054070065004</c:v>
                </c:pt>
                <c:pt idx="7">
                  <c:v>264.89054070065004</c:v>
                </c:pt>
                <c:pt idx="8">
                  <c:v>259.89054070065004</c:v>
                </c:pt>
                <c:pt idx="9">
                  <c:v>254.89054070065004</c:v>
                </c:pt>
                <c:pt idx="10">
                  <c:v>248.89054070065004</c:v>
                </c:pt>
                <c:pt idx="11">
                  <c:v>236.89054070065004</c:v>
                </c:pt>
                <c:pt idx="12">
                  <c:v>222.89054070065004</c:v>
                </c:pt>
                <c:pt idx="13">
                  <c:v>247.89054070065004</c:v>
                </c:pt>
                <c:pt idx="14">
                  <c:v>254.89054070065004</c:v>
                </c:pt>
                <c:pt idx="15">
                  <c:v>269.89054070065004</c:v>
                </c:pt>
                <c:pt idx="16">
                  <c:v>284.89054070065004</c:v>
                </c:pt>
              </c:numCache>
            </c:numRef>
          </c:xVal>
          <c:yVal>
            <c:numRef>
              <c:f>Trajecto!$B$179:$B$195</c:f>
              <c:numCache>
                <c:formatCode>General</c:formatCode>
                <c:ptCount val="17"/>
                <c:pt idx="0">
                  <c:v>324</c:v>
                </c:pt>
                <c:pt idx="1">
                  <c:v>300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200</c:v>
                </c:pt>
                <c:pt idx="6">
                  <c:v>160</c:v>
                </c:pt>
                <c:pt idx="7">
                  <c:v>115</c:v>
                </c:pt>
                <c:pt idx="8">
                  <c:v>90</c:v>
                </c:pt>
                <c:pt idx="9">
                  <c:v>57</c:v>
                </c:pt>
                <c:pt idx="10">
                  <c:v>40</c:v>
                </c:pt>
                <c:pt idx="11">
                  <c:v>20</c:v>
                </c:pt>
                <c:pt idx="12">
                  <c:v>0.5</c:v>
                </c:pt>
                <c:pt idx="13">
                  <c:v>0.5</c:v>
                </c:pt>
                <c:pt idx="14">
                  <c:v>15</c:v>
                </c:pt>
                <c:pt idx="15">
                  <c:v>30</c:v>
                </c:pt>
                <c:pt idx="1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B3B-6442-AFEC-07E56791BA28}"/>
            </c:ext>
          </c:extLst>
        </c:ser>
        <c:ser>
          <c:idx val="12"/>
          <c:order val="11"/>
          <c:tx>
            <c:strRef>
              <c:f>Trajecto!$D$176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Trajecto!$D$194:$D$197</c:f>
              <c:numCache>
                <c:formatCode>0</c:formatCode>
                <c:ptCount val="4"/>
                <c:pt idx="0">
                  <c:v>284.89054070065004</c:v>
                </c:pt>
                <c:pt idx="1">
                  <c:v>301.89054070065004</c:v>
                </c:pt>
                <c:pt idx="2">
                  <c:v>295.89054070065004</c:v>
                </c:pt>
                <c:pt idx="3">
                  <c:v>284.89054070065004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B3B-6442-AFEC-07E56791BA28}"/>
            </c:ext>
          </c:extLst>
        </c:ser>
        <c:ser>
          <c:idx val="13"/>
          <c:order val="12"/>
          <c:tx>
            <c:strRef>
              <c:f>Trajecto!$F$176</c:f>
              <c:strCache>
                <c:ptCount val="1"/>
                <c:pt idx="0">
                  <c:v>Tour Eiffel</c:v>
                </c:pt>
              </c:strCache>
            </c:strRef>
          </c:tx>
          <c:spPr>
            <a:ln>
              <a:solidFill>
                <a:srgbClr val="C0C0C0"/>
              </a:solidFill>
            </a:ln>
          </c:spPr>
          <c:marker>
            <c:symbol val="none"/>
          </c:marker>
          <c:xVal>
            <c:numRef>
              <c:f>Trajecto!$F$194:$F$197</c:f>
              <c:numCache>
                <c:formatCode>0</c:formatCode>
                <c:ptCount val="4"/>
                <c:pt idx="0">
                  <c:v>284.89054070065004</c:v>
                </c:pt>
                <c:pt idx="1">
                  <c:v>267.89054070065004</c:v>
                </c:pt>
                <c:pt idx="2">
                  <c:v>273.89054070065004</c:v>
                </c:pt>
                <c:pt idx="3">
                  <c:v>284.89054070065004</c:v>
                </c:pt>
              </c:numCache>
            </c:numRef>
          </c:xVal>
          <c:yVal>
            <c:numRef>
              <c:f>Trajecto!$B$196:$B$199</c:f>
              <c:numCache>
                <c:formatCode>General</c:formatCode>
                <c:ptCount val="4"/>
                <c:pt idx="0">
                  <c:v>67</c:v>
                </c:pt>
                <c:pt idx="1">
                  <c:v>67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B3B-6442-AFEC-07E56791BA28}"/>
            </c:ext>
          </c:extLst>
        </c:ser>
        <c:ser>
          <c:idx val="3"/>
          <c:order val="1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dLbls>
            <c:dLbl>
              <c:idx val="1"/>
              <c:tx>
                <c:strRef>
                  <c:f>Trajecto!$B$108</c:f>
                  <c:strCache>
                    <c:ptCount val="1"/>
                    <c:pt idx="0">
                      <c:v>Fusée sous parachute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{2A5D9DBF-CAF1-4D9B-8569-65968A637A11}</c15:txfldGUID>
                      <c15:f>Trajecto!$B$108</c15:f>
                      <c15:dlblFieldTableCache>
                        <c:ptCount val="1"/>
                        <c:pt idx="0">
                          <c:v>Fusée sous parachute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B3B-6442-AFEC-07E56791BA2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Trajecto!$B$123:$B$129</c:f>
              <c:numCache>
                <c:formatCode>0</c:formatCode>
                <c:ptCount val="7"/>
                <c:pt idx="0">
                  <c:v>274.8860136227521</c:v>
                </c:pt>
                <c:pt idx="1">
                  <c:v>274.8860136227521</c:v>
                </c:pt>
                <c:pt idx="2">
                  <c:v>274.8860136227521</c:v>
                </c:pt>
                <c:pt idx="3">
                  <c:v>314.64601575229221</c:v>
                </c:pt>
                <c:pt idx="4">
                  <c:v>274.8860136227521</c:v>
                </c:pt>
                <c:pt idx="5">
                  <c:v>235.12601149321199</c:v>
                </c:pt>
                <c:pt idx="6">
                  <c:v>274.8860136227521</c:v>
                </c:pt>
              </c:numCache>
            </c:numRef>
          </c:xVal>
          <c:yVal>
            <c:numRef>
              <c:f>Trajecto!$C$121:$C$127</c:f>
              <c:numCache>
                <c:formatCode>0</c:formatCode>
                <c:ptCount val="7"/>
                <c:pt idx="0">
                  <c:v>1590.400085181604</c:v>
                </c:pt>
                <c:pt idx="1">
                  <c:v>795.20004259080201</c:v>
                </c:pt>
                <c:pt idx="2">
                  <c:v>0</c:v>
                </c:pt>
                <c:pt idx="3">
                  <c:v>79.520004259080196</c:v>
                </c:pt>
                <c:pt idx="4">
                  <c:v>0</c:v>
                </c:pt>
                <c:pt idx="5">
                  <c:v>79.520004259080196</c:v>
                </c:pt>
                <c:pt idx="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B3B-6442-AFEC-07E56791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365328"/>
        <c:axId val="1"/>
      </c:scatterChart>
      <c:valAx>
        <c:axId val="1806365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Trajecto!$B$111</c:f>
              <c:strCache>
                <c:ptCount val="1"/>
                <c:pt idx="0">
                  <c:v>Portée x [m]</c:v>
                </c:pt>
              </c:strCache>
            </c:strRef>
          </c:tx>
          <c:layout>
            <c:manualLayout>
              <c:xMode val="edge"/>
              <c:yMode val="edge"/>
              <c:x val="0.56464627732344275"/>
              <c:y val="0.84829693458129052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8.1818320007296386E-2"/>
              <c:y val="6.8111391736410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365328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paperSize="9" firstPageNumber="0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Trajecto!$B$113</c:f>
          <c:strCache>
            <c:ptCount val="1"/>
            <c:pt idx="0">
              <c:v>Altitude z  /  Temps</c:v>
            </c:pt>
          </c:strCache>
        </c:strRef>
      </c:tx>
      <c:layout>
        <c:manualLayout>
          <c:xMode val="edge"/>
          <c:yMode val="edge"/>
          <c:x val="0.57666688909649"/>
          <c:y val="3.7151818286865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6666916233451413E-2"/>
          <c:y val="3.5608360198500402E-2"/>
          <c:w val="0.89333624132890865"/>
          <c:h val="0.89614373166225958"/>
        </c:manualLayout>
      </c:layout>
      <c:scatterChart>
        <c:scatterStyle val="lineMarker"/>
        <c:varyColors val="0"/>
        <c:ser>
          <c:idx val="4"/>
          <c:order val="0"/>
          <c:tx>
            <c:v>Point invisible pour mise à l'echelle</c:v>
          </c:tx>
          <c:spPr>
            <a:ln w="28575">
              <a:noFill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Trajecto!$B$120</c:f>
              <c:numCache>
                <c:formatCode>0</c:formatCode>
                <c:ptCount val="1"/>
                <c:pt idx="0">
                  <c:v>1592.8848656773607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E84B-8A2E-77A3E8DE6A60}"/>
            </c:ext>
          </c:extLst>
        </c:ser>
        <c:ser>
          <c:idx val="0"/>
          <c:order val="1"/>
          <c:tx>
            <c:v>1 point par seconde</c:v>
          </c:tx>
          <c:spPr>
            <a:ln w="28575">
              <a:noFill/>
            </a:ln>
          </c:spPr>
          <c:marker>
            <c:symbol val="plus"/>
            <c:size val="7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Calculs!$AC$4:$AC$1004</c:f>
              <c:numCache>
                <c:formatCode>0</c:formatCode>
                <c:ptCount val="1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1.0000000000000007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2.0000000000000013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2.99999999999998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3.9999999999999587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4.9999999999999556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5.999999999999952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6.9999999999999485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7.9999999999999449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8.9999999999999414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9.9999999999999378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10.999999999999934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11.999999999999931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12.999999999999927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13.999999999999924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14.99999999999992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15.999999999999917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16.999999999999929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17.999999999999943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18.999999999999957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19.999999999999972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20.999999999999986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22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23.000000000000014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24.000000000000028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25.000000000000043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26.000000000000057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27.000000000000071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28.000000000000085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29.000000000000099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30.000000000000114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31.000000000000128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32.000000000000142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33.000000000000156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34.000000000000171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35.000000000000185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36.000000000000199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37.000000000000213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3.562696885685801E-5</c:v>
                </c:pt>
                <c:pt idx="2">
                  <c:v>1.1875575187218533E-3</c:v>
                </c:pt>
                <c:pt idx="3">
                  <c:v>5.5464952848076647E-3</c:v>
                </c:pt>
                <c:pt idx="4">
                  <c:v>1.5204678378389128E-2</c:v>
                </c:pt>
                <c:pt idx="5">
                  <c:v>3.2256526919684975E-2</c:v>
                </c:pt>
                <c:pt idx="6">
                  <c:v>5.8269452385194841E-2</c:v>
                </c:pt>
                <c:pt idx="7">
                  <c:v>9.3753305161804801E-2</c:v>
                </c:pt>
                <c:pt idx="8">
                  <c:v>0.13868858422863994</c:v>
                </c:pt>
                <c:pt idx="9">
                  <c:v>0.19305568704877241</c:v>
                </c:pt>
                <c:pt idx="10">
                  <c:v>0.25683490991255581</c:v>
                </c:pt>
                <c:pt idx="11">
                  <c:v>0.33000644828484993</c:v>
                </c:pt>
                <c:pt idx="12">
                  <c:v>0.41255039715610847</c:v>
                </c:pt>
                <c:pt idx="13">
                  <c:v>0.50444675139730177</c:v>
                </c:pt>
                <c:pt idx="14">
                  <c:v>0.60567540611864645</c:v>
                </c:pt>
                <c:pt idx="15">
                  <c:v>0.71621615703211317</c:v>
                </c:pt>
                <c:pt idx="16">
                  <c:v>0.83604870081768412</c:v>
                </c:pt>
                <c:pt idx="17">
                  <c:v>0.96515263549333041</c:v>
                </c:pt>
                <c:pt idx="18">
                  <c:v>1.1035074607886803</c:v>
                </c:pt>
                <c:pt idx="19">
                  <c:v>1.2510925785223481</c:v>
                </c:pt>
                <c:pt idx="20">
                  <c:v>1.4078872929828936</c:v>
                </c:pt>
                <c:pt idx="21">
                  <c:v>1.5738708113133821</c:v>
                </c:pt>
                <c:pt idx="22">
                  <c:v>1.7490222438995127</c:v>
                </c:pt>
                <c:pt idx="23">
                  <c:v>1.9333206047612856</c:v>
                </c:pt>
                <c:pt idx="24">
                  <c:v>2.1267448119481767</c:v>
                </c:pt>
                <c:pt idx="25">
                  <c:v>2.3292736879377847</c:v>
                </c:pt>
                <c:pt idx="26">
                  <c:v>2.540885960037925</c:v>
                </c:pt>
                <c:pt idx="27">
                  <c:v>2.7615602607921304</c:v>
                </c:pt>
                <c:pt idx="28">
                  <c:v>2.9912751283885326</c:v>
                </c:pt>
                <c:pt idx="29">
                  <c:v>3.230009007072089</c:v>
                </c:pt>
                <c:pt idx="30">
                  <c:v>3.4777402475601189</c:v>
                </c:pt>
                <c:pt idx="31">
                  <c:v>3.7344471074611216</c:v>
                </c:pt>
                <c:pt idx="32">
                  <c:v>4.000107751696838</c:v>
                </c:pt>
                <c:pt idx="33">
                  <c:v>4.274696525166461</c:v>
                </c:pt>
                <c:pt idx="34">
                  <c:v>4.5581875509029022</c:v>
                </c:pt>
                <c:pt idx="35">
                  <c:v>4.8505584600409337</c:v>
                </c:pt>
                <c:pt idx="36">
                  <c:v>5.1517867981019645</c:v>
                </c:pt>
                <c:pt idx="37">
                  <c:v>5.4618500270532619</c:v>
                </c:pt>
                <c:pt idx="38">
                  <c:v>5.7807255254015475</c:v>
                </c:pt>
                <c:pt idx="39">
                  <c:v>6.108390588317401</c:v>
                </c:pt>
                <c:pt idx="40">
                  <c:v>6.4448224277874928</c:v>
                </c:pt>
                <c:pt idx="41">
                  <c:v>6.78999817279204</c:v>
                </c:pt>
                <c:pt idx="42">
                  <c:v>7.1438948695052158</c:v>
                </c:pt>
                <c:pt idx="43">
                  <c:v>7.5064894815165157</c:v>
                </c:pt>
                <c:pt idx="44">
                  <c:v>7.8777588900713127</c:v>
                </c:pt>
                <c:pt idx="45">
                  <c:v>8.2576798943290477</c:v>
                </c:pt>
                <c:pt idx="46">
                  <c:v>8.6462292116376762</c:v>
                </c:pt>
                <c:pt idx="47">
                  <c:v>9.0433834778231219</c:v>
                </c:pt>
                <c:pt idx="48">
                  <c:v>9.4491192474926535</c:v>
                </c:pt>
                <c:pt idx="49">
                  <c:v>9.8634129943511848</c:v>
                </c:pt>
                <c:pt idx="50">
                  <c:v>10.286241111529611</c:v>
                </c:pt>
                <c:pt idx="51">
                  <c:v>10.717582703030709</c:v>
                </c:pt>
                <c:pt idx="52">
                  <c:v>11.157422379425888</c:v>
                </c:pt>
                <c:pt idx="53">
                  <c:v>11.605747472928835</c:v>
                </c:pt>
                <c:pt idx="54">
                  <c:v>12.062545248107767</c:v>
                </c:pt>
                <c:pt idx="55">
                  <c:v>12.5278029020023</c:v>
                </c:pt>
                <c:pt idx="56">
                  <c:v>13.001507564247742</c:v>
                </c:pt>
                <c:pt idx="57">
                  <c:v>13.483646297206469</c:v>
                </c:pt>
                <c:pt idx="58">
                  <c:v>13.974206096106016</c:v>
                </c:pt>
                <c:pt idx="59">
                  <c:v>14.473173889183581</c:v>
                </c:pt>
                <c:pt idx="60">
                  <c:v>14.980536537836667</c:v>
                </c:pt>
                <c:pt idx="61">
                  <c:v>15.496280836779572</c:v>
                </c:pt>
                <c:pt idx="62">
                  <c:v>16.020393514205502</c:v>
                </c:pt>
                <c:pt idx="63">
                  <c:v>16.552861231954065</c:v>
                </c:pt>
                <c:pt idx="64">
                  <c:v>17.093670585683952</c:v>
                </c:pt>
                <c:pt idx="65">
                  <c:v>17.642808105050591</c:v>
                </c:pt>
                <c:pt idx="66">
                  <c:v>18.200260253888597</c:v>
                </c:pt>
                <c:pt idx="67">
                  <c:v>18.766013430398861</c:v>
                </c:pt>
                <c:pt idx="68">
                  <c:v>19.340053967340097</c:v>
                </c:pt>
                <c:pt idx="69">
                  <c:v>19.922368132224715</c:v>
                </c:pt>
                <c:pt idx="70">
                  <c:v>20.51294212751888</c:v>
                </c:pt>
                <c:pt idx="71">
                  <c:v>21.111762090846604</c:v>
                </c:pt>
                <c:pt idx="72">
                  <c:v>21.718814095197782</c:v>
                </c:pt>
                <c:pt idx="73">
                  <c:v>22.334084149140036</c:v>
                </c:pt>
                <c:pt idx="74">
                  <c:v>22.957558197034245</c:v>
                </c:pt>
                <c:pt idx="75">
                  <c:v>23.589222119253687</c:v>
                </c:pt>
                <c:pt idx="76">
                  <c:v>24.229061732406674</c:v>
                </c:pt>
                <c:pt idx="77">
                  <c:v>24.877062789562594</c:v>
                </c:pt>
                <c:pt idx="78">
                  <c:v>25.533210980481272</c:v>
                </c:pt>
                <c:pt idx="79">
                  <c:v>26.197491931845555</c:v>
                </c:pt>
                <c:pt idx="80">
                  <c:v>26.869891207497066</c:v>
                </c:pt>
                <c:pt idx="81">
                  <c:v>27.55039430867502</c:v>
                </c:pt>
                <c:pt idx="82">
                  <c:v>28.238986674258054</c:v>
                </c:pt>
                <c:pt idx="83">
                  <c:v>28.93565368100899</c:v>
                </c:pt>
                <c:pt idx="84">
                  <c:v>29.640380643822454</c:v>
                </c:pt>
                <c:pt idx="85">
                  <c:v>30.35315281597531</c:v>
                </c:pt>
                <c:pt idx="86">
                  <c:v>31.073955389379837</c:v>
                </c:pt>
                <c:pt idx="87">
                  <c:v>31.802773494839574</c:v>
                </c:pt>
                <c:pt idx="88">
                  <c:v>32.539592202307801</c:v>
                </c:pt>
                <c:pt idx="89">
                  <c:v>33.284396521148587</c:v>
                </c:pt>
                <c:pt idx="90">
                  <c:v>34.037171400400354</c:v>
                </c:pt>
                <c:pt idx="91">
                  <c:v>34.797901729041897</c:v>
                </c:pt>
                <c:pt idx="92">
                  <c:v>35.566572336260847</c:v>
                </c:pt>
                <c:pt idx="93">
                  <c:v>36.343167991724457</c:v>
                </c:pt>
                <c:pt idx="94">
                  <c:v>37.12767340585274</c:v>
                </c:pt>
                <c:pt idx="95">
                  <c:v>37.92007323009387</c:v>
                </c:pt>
                <c:pt idx="96">
                  <c:v>38.720352057201815</c:v>
                </c:pt>
                <c:pt idx="97">
                  <c:v>39.528494421516164</c:v>
                </c:pt>
                <c:pt idx="98">
                  <c:v>40.344484799244064</c:v>
                </c:pt>
                <c:pt idx="99">
                  <c:v>41.168307608744314</c:v>
                </c:pt>
                <c:pt idx="100">
                  <c:v>41.999947210813467</c:v>
                </c:pt>
                <c:pt idx="101">
                  <c:v>42.839386621090078</c:v>
                </c:pt>
                <c:pt idx="102">
                  <c:v>43.686606221046318</c:v>
                </c:pt>
                <c:pt idx="103">
                  <c:v>44.541585044517475</c:v>
                </c:pt>
                <c:pt idx="104">
                  <c:v>45.404302065707192</c:v>
                </c:pt>
                <c:pt idx="105">
                  <c:v>46.274736199601875</c:v>
                </c:pt>
                <c:pt idx="106">
                  <c:v>47.152866302386762</c:v>
                </c:pt>
                <c:pt idx="107">
                  <c:v>48.038671171863662</c:v>
                </c:pt>
                <c:pt idx="108">
                  <c:v>48.932129547870304</c:v>
                </c:pt>
                <c:pt idx="109">
                  <c:v>49.833220112701213</c:v>
                </c:pt>
                <c:pt idx="110">
                  <c:v>50.741921491530142</c:v>
                </c:pt>
                <c:pt idx="111">
                  <c:v>51.658212252833941</c:v>
                </c:pt>
                <c:pt idx="112">
                  <c:v>52.582070908817876</c:v>
                </c:pt>
                <c:pt idx="113">
                  <c:v>53.513475915842321</c:v>
                </c:pt>
                <c:pt idx="114">
                  <c:v>54.452405674850795</c:v>
                </c:pt>
                <c:pt idx="115">
                  <c:v>55.398838531799292</c:v>
                </c:pt>
                <c:pt idx="116">
                  <c:v>56.352752778086909</c:v>
                </c:pt>
                <c:pt idx="117">
                  <c:v>57.314126650987625</c:v>
                </c:pt>
                <c:pt idx="118">
                  <c:v>58.282938334083319</c:v>
                </c:pt>
                <c:pt idx="119">
                  <c:v>59.259165957697896</c:v>
                </c:pt>
                <c:pt idx="120">
                  <c:v>60.24278759933253</c:v>
                </c:pt>
                <c:pt idx="121">
                  <c:v>61.233781284101966</c:v>
                </c:pt>
                <c:pt idx="122">
                  <c:v>62.232124985171808</c:v>
                </c:pt>
                <c:pt idx="123">
                  <c:v>63.237796624196861</c:v>
                </c:pt>
                <c:pt idx="124">
                  <c:v>64.250774071760361</c:v>
                </c:pt>
                <c:pt idx="125">
                  <c:v>65.271035147814132</c:v>
                </c:pt>
                <c:pt idx="126">
                  <c:v>66.298557622119631</c:v>
                </c:pt>
                <c:pt idx="127">
                  <c:v>67.333319214689794</c:v>
                </c:pt>
                <c:pt idx="128">
                  <c:v>68.375297596231746</c:v>
                </c:pt>
                <c:pt idx="129">
                  <c:v>69.42447038859018</c:v>
                </c:pt>
                <c:pt idx="130">
                  <c:v>70.48081516519153</c:v>
                </c:pt>
                <c:pt idx="131">
                  <c:v>71.544309451488857</c:v>
                </c:pt>
                <c:pt idx="132">
                  <c:v>72.614930725407319</c:v>
                </c:pt>
                <c:pt idx="133">
                  <c:v>73.692656417790317</c:v>
                </c:pt>
                <c:pt idx="134">
                  <c:v>74.777463912846187</c:v>
                </c:pt>
                <c:pt idx="135">
                  <c:v>75.869330548595499</c:v>
                </c:pt>
                <c:pt idx="136">
                  <c:v>76.968233617318845</c:v>
                </c:pt>
                <c:pt idx="137">
                  <c:v>78.074150366005099</c:v>
                </c:pt>
                <c:pt idx="138">
                  <c:v>79.187057996800164</c:v>
                </c:pt>
                <c:pt idx="139">
                  <c:v>80.306933667456079</c:v>
                </c:pt>
                <c:pt idx="140">
                  <c:v>81.433754491780604</c:v>
                </c:pt>
                <c:pt idx="141">
                  <c:v>82.567497540087061</c:v>
                </c:pt>
                <c:pt idx="142">
                  <c:v>83.708139839644559</c:v>
                </c:pt>
                <c:pt idx="143">
                  <c:v>84.855658375128485</c:v>
                </c:pt>
                <c:pt idx="144">
                  <c:v>86.010030089071236</c:v>
                </c:pt>
                <c:pt idx="145">
                  <c:v>87.171231882313208</c:v>
                </c:pt>
                <c:pt idx="146">
                  <c:v>88.339240614453956</c:v>
                </c:pt>
                <c:pt idx="147">
                  <c:v>89.514033104303522</c:v>
                </c:pt>
                <c:pt idx="148">
                  <c:v>90.695586130333879</c:v>
                </c:pt>
                <c:pt idx="149">
                  <c:v>91.883876431130489</c:v>
                </c:pt>
                <c:pt idx="150">
                  <c:v>93.078880705843929</c:v>
                </c:pt>
                <c:pt idx="151">
                  <c:v>94.280576053152885</c:v>
                </c:pt>
                <c:pt idx="152">
                  <c:v>95.488940410499865</c:v>
                </c:pt>
                <c:pt idx="153">
                  <c:v>96.703952116208185</c:v>
                </c:pt>
                <c:pt idx="154">
                  <c:v>97.925589471307063</c:v>
                </c:pt>
                <c:pt idx="155">
                  <c:v>99.153830739944809</c:v>
                </c:pt>
                <c:pt idx="156">
                  <c:v>100.38865414980206</c:v>
                </c:pt>
                <c:pt idx="157">
                  <c:v>101.63003789250509</c:v>
                </c:pt>
                <c:pt idx="158">
                  <c:v>102.87796012403895</c:v>
                </c:pt>
                <c:pt idx="159">
                  <c:v>104.13239896516082</c:v>
                </c:pt>
                <c:pt idx="160">
                  <c:v>105.39333250181311</c:v>
                </c:pt>
                <c:pt idx="161">
                  <c:v>106.66073878553654</c:v>
                </c:pt>
                <c:pt idx="162">
                  <c:v>107.93459583388315</c:v>
                </c:pt>
                <c:pt idx="163">
                  <c:v>109.21488163082908</c:v>
                </c:pt>
                <c:pt idx="164">
                  <c:v>110.50157412718731</c:v>
                </c:pt>
                <c:pt idx="165">
                  <c:v>111.79465124102009</c:v>
                </c:pt>
                <c:pt idx="166">
                  <c:v>113.09409085805129</c:v>
                </c:pt>
                <c:pt idx="167">
                  <c:v>114.39987083207838</c:v>
                </c:pt>
                <c:pt idx="168">
                  <c:v>115.71196898538427</c:v>
                </c:pt>
                <c:pt idx="169">
                  <c:v>117.03036310914881</c:v>
                </c:pt>
                <c:pt idx="170">
                  <c:v>118.35503096385993</c:v>
                </c:pt>
                <c:pt idx="171">
                  <c:v>119.68595027972458</c:v>
                </c:pt>
                <c:pt idx="172">
                  <c:v>121.02309875707918</c:v>
                </c:pt>
                <c:pt idx="173">
                  <c:v>122.36645406679979</c:v>
                </c:pt>
                <c:pt idx="174">
                  <c:v>123.71599385071181</c:v>
                </c:pt>
                <c:pt idx="175">
                  <c:v>125.07169572199929</c:v>
                </c:pt>
                <c:pt idx="176">
                  <c:v>126.43353726561378</c:v>
                </c:pt>
                <c:pt idx="177">
                  <c:v>127.80149603868269</c:v>
                </c:pt>
                <c:pt idx="178">
                  <c:v>129.17554957091718</c:v>
                </c:pt>
                <c:pt idx="179">
                  <c:v>130.55567536501954</c:v>
                </c:pt>
                <c:pt idx="180">
                  <c:v>131.94185089709001</c:v>
                </c:pt>
                <c:pt idx="181">
                  <c:v>133.33405361703299</c:v>
                </c:pt>
                <c:pt idx="182">
                  <c:v>134.73226094896279</c:v>
                </c:pt>
                <c:pt idx="183">
                  <c:v>136.13645029160861</c:v>
                </c:pt>
                <c:pt idx="184">
                  <c:v>137.54659901871912</c:v>
                </c:pt>
                <c:pt idx="185">
                  <c:v>138.96268447946608</c:v>
                </c:pt>
                <c:pt idx="186">
                  <c:v>140.38468399884755</c:v>
                </c:pt>
                <c:pt idx="187">
                  <c:v>141.81257487809032</c:v>
                </c:pt>
                <c:pt idx="188">
                  <c:v>143.24633439505158</c:v>
                </c:pt>
                <c:pt idx="189">
                  <c:v>144.68593980461992</c:v>
                </c:pt>
                <c:pt idx="190">
                  <c:v>146.13136833911557</c:v>
                </c:pt>
                <c:pt idx="191">
                  <c:v>147.5825972086898</c:v>
                </c:pt>
                <c:pt idx="192">
                  <c:v>149.03960360172363</c:v>
                </c:pt>
                <c:pt idx="193">
                  <c:v>150.50236468522559</c:v>
                </c:pt>
                <c:pt idx="194">
                  <c:v>151.97085760522876</c:v>
                </c:pt>
                <c:pt idx="195">
                  <c:v>153.44505948718688</c:v>
                </c:pt>
                <c:pt idx="196">
                  <c:v>154.92494743636971</c:v>
                </c:pt>
                <c:pt idx="197">
                  <c:v>156.41049853825726</c:v>
                </c:pt>
                <c:pt idx="198">
                  <c:v>157.90168985893337</c:v>
                </c:pt>
                <c:pt idx="199">
                  <c:v>159.39849844547814</c:v>
                </c:pt>
                <c:pt idx="200">
                  <c:v>160.90090132635962</c:v>
                </c:pt>
                <c:pt idx="201">
                  <c:v>162.40887551182428</c:v>
                </c:pt>
                <c:pt idx="202">
                  <c:v>163.92239799428671</c:v>
                </c:pt>
                <c:pt idx="203">
                  <c:v>165.44144574871822</c:v>
                </c:pt>
                <c:pt idx="204">
                  <c:v>166.96599573303442</c:v>
                </c:pt>
                <c:pt idx="205">
                  <c:v>168.49602488848168</c:v>
                </c:pt>
                <c:pt idx="206">
                  <c:v>170.03151014002279</c:v>
                </c:pt>
                <c:pt idx="207">
                  <c:v>171.57242839672116</c:v>
                </c:pt>
                <c:pt idx="208">
                  <c:v>173.1187565521243</c:v>
                </c:pt>
                <c:pt idx="209">
                  <c:v>174.67047148464587</c:v>
                </c:pt>
                <c:pt idx="210">
                  <c:v>176.2275500579469</c:v>
                </c:pt>
                <c:pt idx="211">
                  <c:v>177.78996912131555</c:v>
                </c:pt>
                <c:pt idx="212">
                  <c:v>179.35770551004597</c:v>
                </c:pt>
                <c:pt idx="213">
                  <c:v>180.93073604581591</c:v>
                </c:pt>
                <c:pt idx="214">
                  <c:v>182.50903753706299</c:v>
                </c:pt>
                <c:pt idx="215">
                  <c:v>184.09258677935998</c:v>
                </c:pt>
                <c:pt idx="216">
                  <c:v>185.68136055578867</c:v>
                </c:pt>
                <c:pt idx="217">
                  <c:v>187.27533563731268</c:v>
                </c:pt>
                <c:pt idx="218">
                  <c:v>188.87448878314879</c:v>
                </c:pt>
                <c:pt idx="219">
                  <c:v>190.47879674113722</c:v>
                </c:pt>
                <c:pt idx="220">
                  <c:v>192.08823624811043</c:v>
                </c:pt>
                <c:pt idx="221">
                  <c:v>193.70278403026083</c:v>
                </c:pt>
                <c:pt idx="222">
                  <c:v>195.32241680350691</c:v>
                </c:pt>
                <c:pt idx="223">
                  <c:v>196.9471112738583</c:v>
                </c:pt>
                <c:pt idx="224">
                  <c:v>198.57684413777926</c:v>
                </c:pt>
                <c:pt idx="225">
                  <c:v>200.21159208255105</c:v>
                </c:pt>
                <c:pt idx="226">
                  <c:v>201.85133178663267</c:v>
                </c:pt>
                <c:pt idx="227">
                  <c:v>203.49603992002042</c:v>
                </c:pt>
                <c:pt idx="228">
                  <c:v>205.1456931446059</c:v>
                </c:pt>
                <c:pt idx="229">
                  <c:v>206.80026811453277</c:v>
                </c:pt>
                <c:pt idx="230">
                  <c:v>208.4597414765519</c:v>
                </c:pt>
                <c:pt idx="231">
                  <c:v>210.12408987037523</c:v>
                </c:pt>
                <c:pt idx="232">
                  <c:v>211.79328992902808</c:v>
                </c:pt>
                <c:pt idx="233">
                  <c:v>213.46731827920007</c:v>
                </c:pt>
                <c:pt idx="234">
                  <c:v>215.14615154159446</c:v>
                </c:pt>
                <c:pt idx="235">
                  <c:v>216.82976633127618</c:v>
                </c:pt>
                <c:pt idx="236">
                  <c:v>218.51813925801812</c:v>
                </c:pt>
                <c:pt idx="237">
                  <c:v>220.21124692664611</c:v>
                </c:pt>
                <c:pt idx="238">
                  <c:v>221.90906593738234</c:v>
                </c:pt>
                <c:pt idx="239">
                  <c:v>223.61157288618708</c:v>
                </c:pt>
                <c:pt idx="240">
                  <c:v>225.31874436509912</c:v>
                </c:pt>
                <c:pt idx="241">
                  <c:v>227.03055696257442</c:v>
                </c:pt>
                <c:pt idx="242">
                  <c:v>228.74698726382334</c:v>
                </c:pt>
                <c:pt idx="243">
                  <c:v>230.46801185114617</c:v>
                </c:pt>
                <c:pt idx="244">
                  <c:v>232.19360730426726</c:v>
                </c:pt>
                <c:pt idx="245">
                  <c:v>233.92375020066734</c:v>
                </c:pt>
                <c:pt idx="246">
                  <c:v>235.65841711591429</c:v>
                </c:pt>
                <c:pt idx="247">
                  <c:v>237.39758462399246</c:v>
                </c:pt>
                <c:pt idx="248">
                  <c:v>239.14122929763008</c:v>
                </c:pt>
                <c:pt idx="249">
                  <c:v>240.88932770862525</c:v>
                </c:pt>
                <c:pt idx="250">
                  <c:v>242.64185642817023</c:v>
                </c:pt>
                <c:pt idx="251">
                  <c:v>244.39879013416561</c:v>
                </c:pt>
                <c:pt idx="252">
                  <c:v>246.1600997189361</c:v>
                </c:pt>
                <c:pt idx="253">
                  <c:v>247.92575418464855</c:v>
                </c:pt>
                <c:pt idx="254">
                  <c:v>249.69572253839024</c:v>
                </c:pt>
                <c:pt idx="255">
                  <c:v>251.4699737926141</c:v>
                </c:pt>
                <c:pt idx="256">
                  <c:v>253.24847696558112</c:v>
                </c:pt>
                <c:pt idx="257">
                  <c:v>255.03120108179979</c:v>
                </c:pt>
                <c:pt idx="258">
                  <c:v>256.81811517246263</c:v>
                </c:pt>
                <c:pt idx="259">
                  <c:v>258.60918827587949</c:v>
                </c:pt>
                <c:pt idx="260">
                  <c:v>260.40438943790843</c:v>
                </c:pt>
                <c:pt idx="261">
                  <c:v>262.20368771238293</c:v>
                </c:pt>
                <c:pt idx="262">
                  <c:v>264.00705216153665</c:v>
                </c:pt>
                <c:pt idx="263">
                  <c:v>265.81445185642491</c:v>
                </c:pt>
                <c:pt idx="264">
                  <c:v>267.62585587734321</c:v>
                </c:pt>
                <c:pt idx="265">
                  <c:v>269.44123331424288</c:v>
                </c:pt>
                <c:pt idx="266">
                  <c:v>271.26055326714345</c:v>
                </c:pt>
                <c:pt idx="267">
                  <c:v>273.08378484654213</c:v>
                </c:pt>
                <c:pt idx="268">
                  <c:v>274.91089717382022</c:v>
                </c:pt>
                <c:pt idx="269">
                  <c:v>276.74185938164652</c:v>
                </c:pt>
                <c:pt idx="270">
                  <c:v>278.57664061437765</c:v>
                </c:pt>
                <c:pt idx="271">
                  <c:v>280.41521002845525</c:v>
                </c:pt>
                <c:pt idx="272">
                  <c:v>282.25753679280018</c:v>
                </c:pt>
                <c:pt idx="273">
                  <c:v>284.10359008920358</c:v>
                </c:pt>
                <c:pt idx="274">
                  <c:v>285.95333911271501</c:v>
                </c:pt>
                <c:pt idx="275">
                  <c:v>287.80675307202728</c:v>
                </c:pt>
                <c:pt idx="276">
                  <c:v>289.66380118985836</c:v>
                </c:pt>
                <c:pt idx="277">
                  <c:v>291.52445270333016</c:v>
                </c:pt>
                <c:pt idx="278">
                  <c:v>293.38867686434401</c:v>
                </c:pt>
                <c:pt idx="279">
                  <c:v>295.2564429399535</c:v>
                </c:pt>
                <c:pt idx="280">
                  <c:v>297.12772021273372</c:v>
                </c:pt>
                <c:pt idx="281">
                  <c:v>299.00247798114771</c:v>
                </c:pt>
                <c:pt idx="282">
                  <c:v>300.88068555990958</c:v>
                </c:pt>
                <c:pt idx="283">
                  <c:v>302.7623122803447</c:v>
                </c:pt>
                <c:pt idx="284">
                  <c:v>304.6473274907467</c:v>
                </c:pt>
                <c:pt idx="285">
                  <c:v>306.53570055673129</c:v>
                </c:pt>
                <c:pt idx="286">
                  <c:v>308.4274008615871</c:v>
                </c:pt>
                <c:pt idx="287">
                  <c:v>310.32239780662326</c:v>
                </c:pt>
                <c:pt idx="288">
                  <c:v>312.22066081151388</c:v>
                </c:pt>
                <c:pt idx="289">
                  <c:v>314.12215931463948</c:v>
                </c:pt>
                <c:pt idx="290">
                  <c:v>316.02686277342514</c:v>
                </c:pt>
                <c:pt idx="291">
                  <c:v>317.93474066467581</c:v>
                </c:pt>
                <c:pt idx="292">
                  <c:v>319.84576248490816</c:v>
                </c:pt>
                <c:pt idx="293">
                  <c:v>321.7598977506795</c:v>
                </c:pt>
                <c:pt idx="294">
                  <c:v>323.67711599891351</c:v>
                </c:pt>
                <c:pt idx="295">
                  <c:v>325.59738678722289</c:v>
                </c:pt>
                <c:pt idx="296">
                  <c:v>327.52067969422876</c:v>
                </c:pt>
                <c:pt idx="297">
                  <c:v>329.44696431987722</c:v>
                </c:pt>
                <c:pt idx="298">
                  <c:v>331.3761895080861</c:v>
                </c:pt>
                <c:pt idx="299">
                  <c:v>333.30826258258429</c:v>
                </c:pt>
                <c:pt idx="300">
                  <c:v>335.24307016300037</c:v>
                </c:pt>
                <c:pt idx="301">
                  <c:v>337.1804989688448</c:v>
                </c:pt>
                <c:pt idx="302">
                  <c:v>339.12043582197754</c:v>
                </c:pt>
                <c:pt idx="303">
                  <c:v>341.0627676490372</c:v>
                </c:pt>
                <c:pt idx="304">
                  <c:v>343.0073814838313</c:v>
                </c:pt>
                <c:pt idx="305">
                  <c:v>344.95416446968767</c:v>
                </c:pt>
                <c:pt idx="306">
                  <c:v>346.90300386176767</c:v>
                </c:pt>
                <c:pt idx="307">
                  <c:v>348.85378702934025</c:v>
                </c:pt>
                <c:pt idx="308">
                  <c:v>350.80640145801783</c:v>
                </c:pt>
                <c:pt idx="309">
                  <c:v>352.76073475195312</c:v>
                </c:pt>
                <c:pt idx="310">
                  <c:v>354.71667463599795</c:v>
                </c:pt>
                <c:pt idx="311">
                  <c:v>356.67410895782319</c:v>
                </c:pt>
                <c:pt idx="312">
                  <c:v>358.63292569000038</c:v>
                </c:pt>
                <c:pt idx="313">
                  <c:v>360.59301293204504</c:v>
                </c:pt>
                <c:pt idx="314">
                  <c:v>362.55425891242163</c:v>
                </c:pt>
                <c:pt idx="315">
                  <c:v>364.51655199051027</c:v>
                </c:pt>
                <c:pt idx="316">
                  <c:v>366.47978065853539</c:v>
                </c:pt>
                <c:pt idx="317">
                  <c:v>368.44383354345621</c:v>
                </c:pt>
                <c:pt idx="318">
                  <c:v>370.40859940881944</c:v>
                </c:pt>
                <c:pt idx="319">
                  <c:v>372.37396715657383</c:v>
                </c:pt>
                <c:pt idx="320">
                  <c:v>374.33982582884727</c:v>
                </c:pt>
                <c:pt idx="321">
                  <c:v>376.30607287185467</c:v>
                </c:pt>
                <c:pt idx="322">
                  <c:v>378.27262238995047</c:v>
                </c:pt>
                <c:pt idx="323">
                  <c:v>380.23939686296978</c:v>
                </c:pt>
                <c:pt idx="324">
                  <c:v>382.20631887292132</c:v>
                </c:pt>
                <c:pt idx="325">
                  <c:v>384.17331110472998</c:v>
                </c:pt>
                <c:pt idx="326">
                  <c:v>386.14029634696135</c:v>
                </c:pt>
                <c:pt idx="327">
                  <c:v>388.10719749252803</c:v>
                </c:pt>
                <c:pt idx="328">
                  <c:v>390.07393753937794</c:v>
                </c:pt>
                <c:pt idx="329">
                  <c:v>392.04043959116484</c:v>
                </c:pt>
                <c:pt idx="330">
                  <c:v>394.00662685790115</c:v>
                </c:pt>
                <c:pt idx="331">
                  <c:v>395.9724226565927</c:v>
                </c:pt>
                <c:pt idx="332">
                  <c:v>397.93775041185631</c:v>
                </c:pt>
                <c:pt idx="333">
                  <c:v>399.90253365651938</c:v>
                </c:pt>
                <c:pt idx="334">
                  <c:v>401.86669603220236</c:v>
                </c:pt>
                <c:pt idx="335">
                  <c:v>403.83016128988368</c:v>
                </c:pt>
                <c:pt idx="336">
                  <c:v>405.79285329044751</c:v>
                </c:pt>
                <c:pt idx="337">
                  <c:v>407.75469600521433</c:v>
                </c:pt>
                <c:pt idx="338">
                  <c:v>409.71561351645437</c:v>
                </c:pt>
                <c:pt idx="339">
                  <c:v>411.67553001788417</c:v>
                </c:pt>
                <c:pt idx="340">
                  <c:v>413.63436981514604</c:v>
                </c:pt>
                <c:pt idx="341">
                  <c:v>415.59205732627117</c:v>
                </c:pt>
                <c:pt idx="342">
                  <c:v>417.54851708212544</c:v>
                </c:pt>
                <c:pt idx="343">
                  <c:v>419.50367372683928</c:v>
                </c:pt>
                <c:pt idx="344">
                  <c:v>421.45745201822058</c:v>
                </c:pt>
                <c:pt idx="345">
                  <c:v>423.40977682815139</c:v>
                </c:pt>
                <c:pt idx="346">
                  <c:v>425.36057314296841</c:v>
                </c:pt>
                <c:pt idx="347">
                  <c:v>427.30976606382723</c:v>
                </c:pt>
                <c:pt idx="348">
                  <c:v>429.25728169790193</c:v>
                </c:pt>
                <c:pt idx="349">
                  <c:v>431.20304804816152</c:v>
                </c:pt>
                <c:pt idx="350">
                  <c:v>433.1469941199469</c:v>
                </c:pt>
                <c:pt idx="351">
                  <c:v>435.08904902891459</c:v>
                </c:pt>
                <c:pt idx="352">
                  <c:v>437.02914200127179</c:v>
                </c:pt>
                <c:pt idx="353">
                  <c:v>438.96720237399734</c:v>
                </c:pt>
                <c:pt idx="354">
                  <c:v>440.90315959504875</c:v>
                </c:pt>
                <c:pt idx="355">
                  <c:v>442.83694322355575</c:v>
                </c:pt>
                <c:pt idx="356">
                  <c:v>444.76848292999966</c:v>
                </c:pt>
                <c:pt idx="357">
                  <c:v>446.69770849637956</c:v>
                </c:pt>
                <c:pt idx="358">
                  <c:v>448.62454981636472</c:v>
                </c:pt>
                <c:pt idx="359">
                  <c:v>450.54893689543383</c:v>
                </c:pt>
                <c:pt idx="360">
                  <c:v>452.47081837643316</c:v>
                </c:pt>
                <c:pt idx="361">
                  <c:v>454.39018003335008</c:v>
                </c:pt>
                <c:pt idx="362">
                  <c:v>456.30702618280026</c:v>
                </c:pt>
                <c:pt idx="363">
                  <c:v>458.22136112726434</c:v>
                </c:pt>
                <c:pt idx="364">
                  <c:v>460.13318915514901</c:v>
                </c:pt>
                <c:pt idx="365">
                  <c:v>462.04251454084726</c:v>
                </c:pt>
                <c:pt idx="366">
                  <c:v>463.94934154479887</c:v>
                </c:pt>
                <c:pt idx="367">
                  <c:v>465.8536744135501</c:v>
                </c:pt>
                <c:pt idx="368">
                  <c:v>467.7555173798134</c:v>
                </c:pt>
                <c:pt idx="369">
                  <c:v>469.65487466252665</c:v>
                </c:pt>
                <c:pt idx="370">
                  <c:v>471.55175046691193</c:v>
                </c:pt>
                <c:pt idx="371">
                  <c:v>473.44614898453426</c:v>
                </c:pt>
                <c:pt idx="372">
                  <c:v>475.33807439335988</c:v>
                </c:pt>
                <c:pt idx="373">
                  <c:v>477.2275308578142</c:v>
                </c:pt>
                <c:pt idx="374">
                  <c:v>479.11452252883942</c:v>
                </c:pt>
                <c:pt idx="375">
                  <c:v>480.99905354395185</c:v>
                </c:pt>
                <c:pt idx="376">
                  <c:v>482.88112802729916</c:v>
                </c:pt>
                <c:pt idx="377">
                  <c:v>484.76075008971679</c:v>
                </c:pt>
                <c:pt idx="378">
                  <c:v>486.63792382878466</c:v>
                </c:pt>
                <c:pt idx="379">
                  <c:v>488.51265332888318</c:v>
                </c:pt>
                <c:pt idx="380">
                  <c:v>490.38494266124894</c:v>
                </c:pt>
                <c:pt idx="381">
                  <c:v>492.2547958840305</c:v>
                </c:pt>
                <c:pt idx="382">
                  <c:v>494.12221704234344</c:v>
                </c:pt>
                <c:pt idx="383">
                  <c:v>495.98721016832525</c:v>
                </c:pt>
                <c:pt idx="384">
                  <c:v>497.84977928119014</c:v>
                </c:pt>
                <c:pt idx="385">
                  <c:v>499.70992838728318</c:v>
                </c:pt>
                <c:pt idx="386">
                  <c:v>501.56766148013463</c:v>
                </c:pt>
                <c:pt idx="387">
                  <c:v>503.42298254051337</c:v>
                </c:pt>
                <c:pt idx="388">
                  <c:v>505.27589553648062</c:v>
                </c:pt>
                <c:pt idx="389">
                  <c:v>507.12640442344309</c:v>
                </c:pt>
                <c:pt idx="390">
                  <c:v>508.9745131442059</c:v>
                </c:pt>
                <c:pt idx="391">
                  <c:v>510.82022562902512</c:v>
                </c:pt>
                <c:pt idx="392">
                  <c:v>512.66354579566018</c:v>
                </c:pt>
                <c:pt idx="393">
                  <c:v>514.50447754942616</c:v>
                </c:pt>
                <c:pt idx="394">
                  <c:v>516.34302478324514</c:v>
                </c:pt>
                <c:pt idx="395">
                  <c:v>518.1791913776982</c:v>
                </c:pt>
                <c:pt idx="396">
                  <c:v>520.01298120107629</c:v>
                </c:pt>
                <c:pt idx="397">
                  <c:v>521.84439810943161</c:v>
                </c:pt>
                <c:pt idx="398">
                  <c:v>523.67344594662791</c:v>
                </c:pt>
                <c:pt idx="399">
                  <c:v>525.50012854439126</c:v>
                </c:pt>
                <c:pt idx="400">
                  <c:v>527.32444972236021</c:v>
                </c:pt>
                <c:pt idx="401">
                  <c:v>545.43807836727581</c:v>
                </c:pt>
                <c:pt idx="402">
                  <c:v>563.31801671721007</c:v>
                </c:pt>
                <c:pt idx="403">
                  <c:v>580.96796810169803</c:v>
                </c:pt>
                <c:pt idx="404">
                  <c:v>598.39152148103028</c:v>
                </c:pt>
                <c:pt idx="405">
                  <c:v>615.59215602771917</c:v>
                </c:pt>
                <c:pt idx="406">
                  <c:v>632.57324547682322</c:v>
                </c:pt>
                <c:pt idx="407">
                  <c:v>649.33806225903595</c:v>
                </c:pt>
                <c:pt idx="408">
                  <c:v>665.88978142947497</c:v>
                </c:pt>
                <c:pt idx="409">
                  <c:v>682.2314844042121</c:v>
                </c:pt>
                <c:pt idx="410">
                  <c:v>698.36616251576254</c:v>
                </c:pt>
                <c:pt idx="411">
                  <c:v>714.29672039798982</c:v>
                </c:pt>
                <c:pt idx="412">
                  <c:v>730.02597921018184</c:v>
                </c:pt>
                <c:pt idx="413">
                  <c:v>745.55667970940715</c:v>
                </c:pt>
                <c:pt idx="414">
                  <c:v>760.89148517965725</c:v>
                </c:pt>
                <c:pt idx="415">
                  <c:v>776.0329842257313</c:v>
                </c:pt>
                <c:pt idx="416">
                  <c:v>790.98369343930221</c:v>
                </c:pt>
                <c:pt idx="417">
                  <c:v>805.74605994412923</c:v>
                </c:pt>
                <c:pt idx="418">
                  <c:v>820.32246382694041</c:v>
                </c:pt>
                <c:pt idx="419">
                  <c:v>834.71522046009909</c:v>
                </c:pt>
                <c:pt idx="420">
                  <c:v>848.92658272178778</c:v>
                </c:pt>
                <c:pt idx="421">
                  <c:v>862.95874311909051</c:v>
                </c:pt>
                <c:pt idx="422">
                  <c:v>876.81383581902401</c:v>
                </c:pt>
                <c:pt idx="423">
                  <c:v>890.49393859226484</c:v>
                </c:pt>
                <c:pt idx="424">
                  <c:v>904.00107467403234</c:v>
                </c:pt>
                <c:pt idx="425">
                  <c:v>917.33721454632359</c:v>
                </c:pt>
                <c:pt idx="426">
                  <c:v>930.50427764544861</c:v>
                </c:pt>
                <c:pt idx="427">
                  <c:v>943.50413399858189</c:v>
                </c:pt>
                <c:pt idx="428">
                  <c:v>956.33860579283362</c:v>
                </c:pt>
                <c:pt idx="429">
                  <c:v>969.00946888013937</c:v>
                </c:pt>
                <c:pt idx="430">
                  <c:v>981.51845422108147</c:v>
                </c:pt>
                <c:pt idx="431">
                  <c:v>993.86724927057753</c:v>
                </c:pt>
                <c:pt idx="432">
                  <c:v>1006.0574993082076</c:v>
                </c:pt>
                <c:pt idx="433">
                  <c:v>1018.0908087157979</c:v>
                </c:pt>
                <c:pt idx="434">
                  <c:v>1029.9687422047332</c:v>
                </c:pt>
                <c:pt idx="435">
                  <c:v>1041.6928259953349</c:v>
                </c:pt>
                <c:pt idx="436">
                  <c:v>1053.2645489505169</c:v>
                </c:pt>
                <c:pt idx="437">
                  <c:v>1064.6853636658079</c:v>
                </c:pt>
                <c:pt idx="438">
                  <c:v>1075.9566875177225</c:v>
                </c:pt>
                <c:pt idx="439">
                  <c:v>1087.0799036723531</c:v>
                </c:pt>
                <c:pt idx="440">
                  <c:v>1098.0563620559594</c:v>
                </c:pt>
                <c:pt idx="441">
                  <c:v>1108.8873802892376</c:v>
                </c:pt>
                <c:pt idx="442">
                  <c:v>1119.5742445868666</c:v>
                </c:pt>
                <c:pt idx="443">
                  <c:v>1130.1182106238407</c:v>
                </c:pt>
                <c:pt idx="444">
                  <c:v>1140.5205043700298</c:v>
                </c:pt>
                <c:pt idx="445">
                  <c:v>1150.7823228943264</c:v>
                </c:pt>
                <c:pt idx="446">
                  <c:v>1160.9048351396739</c:v>
                </c:pt>
                <c:pt idx="447">
                  <c:v>1170.8891826702093</c:v>
                </c:pt>
                <c:pt idx="448">
                  <c:v>1180.7364803916842</c:v>
                </c:pt>
                <c:pt idx="449">
                  <c:v>1190.4478172462782</c:v>
                </c:pt>
                <c:pt idx="450">
                  <c:v>1200.0242568828603</c:v>
                </c:pt>
                <c:pt idx="451">
                  <c:v>1209.4668383037028</c:v>
                </c:pt>
                <c:pt idx="452">
                  <c:v>1218.7765764886051</c:v>
                </c:pt>
                <c:pt idx="453">
                  <c:v>1227.9544629973373</c:v>
                </c:pt>
                <c:pt idx="454">
                  <c:v>1237.0014665512708</c:v>
                </c:pt>
                <c:pt idx="455">
                  <c:v>1245.9185335950233</c:v>
                </c:pt>
                <c:pt idx="456">
                  <c:v>1254.7065888389029</c:v>
                </c:pt>
                <c:pt idx="457">
                  <c:v>1263.366535782905</c:v>
                </c:pt>
                <c:pt idx="458">
                  <c:v>1271.8992572229745</c:v>
                </c:pt>
                <c:pt idx="459">
                  <c:v>1280.3056157402184</c:v>
                </c:pt>
                <c:pt idx="460">
                  <c:v>1288.586454173718</c:v>
                </c:pt>
                <c:pt idx="461">
                  <c:v>1296.7425960775645</c:v>
                </c:pt>
                <c:pt idx="462">
                  <c:v>1304.7748461627093</c:v>
                </c:pt>
                <c:pt idx="463">
                  <c:v>1312.6839907241972</c:v>
                </c:pt>
                <c:pt idx="464">
                  <c:v>1320.470798054324</c:v>
                </c:pt>
                <c:pt idx="465">
                  <c:v>1328.1360188422348</c:v>
                </c:pt>
                <c:pt idx="466">
                  <c:v>1335.6803865604588</c:v>
                </c:pt>
                <c:pt idx="467">
                  <c:v>1343.1046178388526</c:v>
                </c:pt>
                <c:pt idx="468">
                  <c:v>1350.4094128264042</c:v>
                </c:pt>
                <c:pt idx="469">
                  <c:v>1357.5954555413316</c:v>
                </c:pt>
                <c:pt idx="470">
                  <c:v>1364.6634142098881</c:v>
                </c:pt>
                <c:pt idx="471">
                  <c:v>1371.6139415942719</c:v>
                </c:pt>
                <c:pt idx="472">
                  <c:v>1378.4476753100193</c:v>
                </c:pt>
                <c:pt idx="473">
                  <c:v>1385.1652381332449</c:v>
                </c:pt>
                <c:pt idx="474">
                  <c:v>1391.7672382980757</c:v>
                </c:pt>
                <c:pt idx="475">
                  <c:v>1398.2542697846154</c:v>
                </c:pt>
                <c:pt idx="476">
                  <c:v>1404.6269125977569</c:v>
                </c:pt>
                <c:pt idx="477">
                  <c:v>1410.8857330371502</c:v>
                </c:pt>
                <c:pt idx="478">
                  <c:v>1417.0312839586193</c:v>
                </c:pt>
                <c:pt idx="479">
                  <c:v>1423.0641050273132</c:v>
                </c:pt>
                <c:pt idx="480">
                  <c:v>1428.9847229628592</c:v>
                </c:pt>
                <c:pt idx="481">
                  <c:v>1434.7936517767803</c:v>
                </c:pt>
                <c:pt idx="482">
                  <c:v>1440.4913930024272</c:v>
                </c:pt>
                <c:pt idx="483">
                  <c:v>1446.0784359176666</c:v>
                </c:pt>
                <c:pt idx="484">
                  <c:v>1451.5552577605542</c:v>
                </c:pt>
                <c:pt idx="485">
                  <c:v>1456.9223239382197</c:v>
                </c:pt>
                <c:pt idx="486">
                  <c:v>1462.1800882291759</c:v>
                </c:pt>
                <c:pt idx="487">
                  <c:v>1467.3289929792591</c:v>
                </c:pt>
                <c:pt idx="488">
                  <c:v>1472.3694692914037</c:v>
                </c:pt>
                <c:pt idx="489">
                  <c:v>1477.3019372094404</c:v>
                </c:pt>
                <c:pt idx="490">
                  <c:v>1482.12680589611</c:v>
                </c:pt>
                <c:pt idx="491">
                  <c:v>1486.8444738054689</c:v>
                </c:pt>
                <c:pt idx="492">
                  <c:v>1491.4553288498685</c:v>
                </c:pt>
                <c:pt idx="493">
                  <c:v>1495.9597485616762</c:v>
                </c:pt>
                <c:pt idx="494">
                  <c:v>1500.3581002499068</c:v>
                </c:pt>
                <c:pt idx="495">
                  <c:v>1504.6507411519306</c:v>
                </c:pt>
                <c:pt idx="496">
                  <c:v>1508.8380185804156</c:v>
                </c:pt>
                <c:pt idx="497">
                  <c:v>1512.9202700656681</c:v>
                </c:pt>
                <c:pt idx="498">
                  <c:v>1516.8978234935262</c:v>
                </c:pt>
                <c:pt idx="499">
                  <c:v>1520.7709972389648</c:v>
                </c:pt>
                <c:pt idx="500">
                  <c:v>1524.5401002955725</c:v>
                </c:pt>
                <c:pt idx="501">
                  <c:v>1528.2054324010578</c:v>
                </c:pt>
                <c:pt idx="502">
                  <c:v>1531.7672841589506</c:v>
                </c:pt>
                <c:pt idx="503">
                  <c:v>1535.2259371566652</c:v>
                </c:pt>
                <c:pt idx="504">
                  <c:v>1538.5816640801013</c:v>
                </c:pt>
                <c:pt idx="505">
                  <c:v>1541.8347288249654</c:v>
                </c:pt>
                <c:pt idx="506">
                  <c:v>1544.9853866050082</c:v>
                </c:pt>
                <c:pt idx="507">
                  <c:v>1548.0338840573879</c:v>
                </c:pt>
                <c:pt idx="508">
                  <c:v>1550.980459345386</c:v>
                </c:pt>
                <c:pt idx="509">
                  <c:v>1553.8253422587272</c:v>
                </c:pt>
                <c:pt idx="510">
                  <c:v>1556.5687543117826</c:v>
                </c:pt>
                <c:pt idx="511">
                  <c:v>1559.2109088399668</c:v>
                </c:pt>
                <c:pt idx="512">
                  <c:v>1561.7520110946868</c:v>
                </c:pt>
                <c:pt idx="513">
                  <c:v>1564.1922583372518</c:v>
                </c:pt>
                <c:pt idx="514">
                  <c:v>1566.5318399322139</c:v>
                </c:pt>
                <c:pt idx="515">
                  <c:v>1568.7709374406902</c:v>
                </c:pt>
                <c:pt idx="516">
                  <c:v>1570.9097247143147</c:v>
                </c:pt>
                <c:pt idx="517">
                  <c:v>1572.9483679905788</c:v>
                </c:pt>
                <c:pt idx="518">
                  <c:v>1574.8870259904668</c:v>
                </c:pt>
                <c:pt idx="519">
                  <c:v>1576.7258500194598</c:v>
                </c:pt>
                <c:pt idx="520">
                  <c:v>1578.4649840731915</c:v>
                </c:pt>
                <c:pt idx="521">
                  <c:v>1580.1045649492842</c:v>
                </c:pt>
                <c:pt idx="522">
                  <c:v>1581.6447223671933</c:v>
                </c:pt>
                <c:pt idx="523">
                  <c:v>1583.0855790982318</c:v>
                </c:pt>
                <c:pt idx="524">
                  <c:v>1584.4272511083532</c:v>
                </c:pt>
                <c:pt idx="525">
                  <c:v>1585.6698477167274</c:v>
                </c:pt>
                <c:pt idx="526">
                  <c:v>1586.8134717736511</c:v>
                </c:pt>
                <c:pt idx="527">
                  <c:v>1587.8582198618694</c:v>
                </c:pt>
                <c:pt idx="528">
                  <c:v>1588.8041825259133</c:v>
                </c:pt>
                <c:pt idx="529">
                  <c:v>1589.6514445345299</c:v>
                </c:pt>
                <c:pt idx="530">
                  <c:v>1590.400085181604</c:v>
                </c:pt>
                <c:pt idx="531">
                  <c:v>1591.0501786310406</c:v>
                </c:pt>
                <c:pt idx="532">
                  <c:v>1591.6017943107449</c:v>
                </c:pt>
                <c:pt idx="533">
                  <c:v>1592.0549973599602</c:v>
                </c:pt>
                <c:pt idx="534">
                  <c:v>1592.4098491326515</c:v>
                </c:pt>
                <c:pt idx="535">
                  <c:v>1592.6664077572952</c:v>
                </c:pt>
                <c:pt idx="536">
                  <c:v>1592.8247287503809</c:v>
                </c:pt>
                <c:pt idx="537">
                  <c:v>1592.8848656773607</c:v>
                </c:pt>
                <c:pt idx="538">
                  <c:v>1592.8468708510761</c:v>
                </c:pt>
                <c:pt idx="539">
                  <c:v>1592.710796054366</c:v>
                </c:pt>
                <c:pt idx="540">
                  <c:v>1592.4766932711818</c:v>
                </c:pt>
                <c:pt idx="541">
                  <c:v>1592.1446154095174</c:v>
                </c:pt>
                <c:pt idx="542">
                  <c:v>1591.7146170000328</c:v>
                </c:pt>
                <c:pt idx="543">
                  <c:v>1591.1867548562786</c:v>
                </c:pt>
                <c:pt idx="544">
                  <c:v>1590.5610886855379</c:v>
                </c:pt>
                <c:pt idx="545">
                  <c:v>1589.8376816429675</c:v>
                </c:pt>
                <c:pt idx="546">
                  <c:v>1589.0166008253866</c:v>
                </c:pt>
                <c:pt idx="547">
                  <c:v>1588.0979177042952</c:v>
                </c:pt>
                <c:pt idx="548">
                  <c:v>1587.0817085002618</c:v>
                </c:pt>
                <c:pt idx="549">
                  <c:v>1585.9680545026024</c:v>
                </c:pt>
                <c:pt idx="550">
                  <c:v>1584.7570423393342</c:v>
                </c:pt>
                <c:pt idx="551">
                  <c:v>1583.4487642028532</c:v>
                </c:pt>
                <c:pt idx="552">
                  <c:v>1582.0433180368077</c:v>
                </c:pt>
                <c:pt idx="553">
                  <c:v>1580.5408076893648</c:v>
                </c:pt>
                <c:pt idx="554">
                  <c:v>1578.9413430376242</c:v>
                </c:pt>
                <c:pt idx="555">
                  <c:v>1577.2450400873997</c:v>
                </c:pt>
                <c:pt idx="556">
                  <c:v>1575.4520210520507</c:v>
                </c:pt>
                <c:pt idx="557">
                  <c:v>1573.5624144135168</c:v>
                </c:pt>
                <c:pt idx="558">
                  <c:v>1571.5763549682363</c:v>
                </c:pt>
                <c:pt idx="559">
                  <c:v>1569.4939838602018</c:v>
                </c:pt>
                <c:pt idx="560">
                  <c:v>1567.3154486030382</c:v>
                </c:pt>
                <c:pt idx="561">
                  <c:v>1565.0409030926824</c:v>
                </c:pt>
                <c:pt idx="562">
                  <c:v>1562.6705076119686</c:v>
                </c:pt>
                <c:pt idx="563">
                  <c:v>1560.2044288282166</c:v>
                </c:pt>
                <c:pt idx="564">
                  <c:v>1557.6428397847255</c:v>
                </c:pt>
                <c:pt idx="565">
                  <c:v>1554.985919886931</c:v>
                </c:pt>
                <c:pt idx="566">
                  <c:v>1552.2338548838559</c:v>
                </c:pt>
                <c:pt idx="567">
                  <c:v>1549.3868368453836</c:v>
                </c:pt>
                <c:pt idx="568">
                  <c:v>1546.4450641357967</c:v>
                </c:pt>
                <c:pt idx="569">
                  <c:v>1543.4087413839522</c:v>
                </c:pt>
                <c:pt idx="570">
                  <c:v>1540.2780794504142</c:v>
                </c:pt>
                <c:pt idx="571">
                  <c:v>1537.0532953918052</c:v>
                </c:pt>
                <c:pt idx="572">
                  <c:v>1533.7346124226115</c:v>
                </c:pt>
                <c:pt idx="573">
                  <c:v>1530.3222598746349</c:v>
                </c:pt>
                <c:pt idx="574">
                  <c:v>1526.8164731542631</c:v>
                </c:pt>
                <c:pt idx="575">
                  <c:v>1523.2174936977035</c:v>
                </c:pt>
                <c:pt idx="576">
                  <c:v>1519.5255689243108</c:v>
                </c:pt>
                <c:pt idx="577">
                  <c:v>1515.740952188122</c:v>
                </c:pt>
                <c:pt idx="578">
                  <c:v>1511.8639027276972</c:v>
                </c:pt>
                <c:pt idx="579">
                  <c:v>1507.8946856143568</c:v>
                </c:pt>
                <c:pt idx="580">
                  <c:v>1503.8335716988954</c:v>
                </c:pt>
                <c:pt idx="581">
                  <c:v>1499.6808375568451</c:v>
                </c:pt>
                <c:pt idx="582">
                  <c:v>1495.4367654323542</c:v>
                </c:pt>
                <c:pt idx="583">
                  <c:v>1491.1016431807418</c:v>
                </c:pt>
                <c:pt idx="584">
                  <c:v>1486.6757642097862</c:v>
                </c:pt>
                <c:pt idx="585">
                  <c:v>1482.1594274197973</c:v>
                </c:pt>
                <c:pt idx="586">
                  <c:v>1477.5529371425243</c:v>
                </c:pt>
                <c:pt idx="587">
                  <c:v>1472.8566030789432</c:v>
                </c:pt>
                <c:pt idx="588">
                  <c:v>1468.0707402359697</c:v>
                </c:pt>
                <c:pt idx="589">
                  <c:v>1463.1956688621385</c:v>
                </c:pt>
                <c:pt idx="590">
                  <c:v>1458.2317143822895</c:v>
                </c:pt>
                <c:pt idx="591">
                  <c:v>1453.1792073312995</c:v>
                </c:pt>
                <c:pt idx="592">
                  <c:v>1448.0384832868974</c:v>
                </c:pt>
                <c:pt idx="593">
                  <c:v>1442.8098828015993</c:v>
                </c:pt>
                <c:pt idx="594">
                  <c:v>1437.4937513337979</c:v>
                </c:pt>
                <c:pt idx="595">
                  <c:v>1432.0904391780427</c:v>
                </c:pt>
                <c:pt idx="596">
                  <c:v>1426.6003013945433</c:v>
                </c:pt>
                <c:pt idx="597">
                  <c:v>1421.0236977379298</c:v>
                </c:pt>
                <c:pt idx="598">
                  <c:v>1415.3609925853034</c:v>
                </c:pt>
                <c:pt idx="599">
                  <c:v>1409.6125548636094</c:v>
                </c:pt>
                <c:pt idx="600">
                  <c:v>1403.778757976364</c:v>
                </c:pt>
                <c:pt idx="601">
                  <c:v>1397.8599797297663</c:v>
                </c:pt>
                <c:pt idx="602">
                  <c:v>1391.8566022582283</c:v>
                </c:pt>
                <c:pt idx="603">
                  <c:v>1385.7690119493514</c:v>
                </c:pt>
                <c:pt idx="604">
                  <c:v>1379.5975993683812</c:v>
                </c:pt>
                <c:pt idx="605">
                  <c:v>1373.3427591821721</c:v>
                </c:pt>
                <c:pt idx="606">
                  <c:v>1367.0048900826882</c:v>
                </c:pt>
                <c:pt idx="607">
                  <c:v>1360.5843947100743</c:v>
                </c:pt>
                <c:pt idx="608">
                  <c:v>1354.081679575324</c:v>
                </c:pt>
                <c:pt idx="609">
                  <c:v>1347.4971549825741</c:v>
                </c:pt>
                <c:pt idx="610">
                  <c:v>1340.8312349510568</c:v>
                </c:pt>
                <c:pt idx="611">
                  <c:v>1334.084337136735</c:v>
                </c:pt>
                <c:pt idx="612">
                  <c:v>1327.2568827536529</c:v>
                </c:pt>
                <c:pt idx="613">
                  <c:v>1320.3492964950271</c:v>
                </c:pt>
                <c:pt idx="614">
                  <c:v>1313.3620064541085</c:v>
                </c:pt>
                <c:pt idx="615">
                  <c:v>1306.295444044842</c:v>
                </c:pt>
                <c:pt idx="616">
                  <c:v>1299.1500439223519</c:v>
                </c:pt>
                <c:pt idx="617">
                  <c:v>1291.9262439032798</c:v>
                </c:pt>
                <c:pt idx="618">
                  <c:v>1284.6244848860044</c:v>
                </c:pt>
                <c:pt idx="619">
                  <c:v>1277.2452107707661</c:v>
                </c:pt>
                <c:pt idx="620">
                  <c:v>1269.7888683797266</c:v>
                </c:pt>
                <c:pt idx="621">
                  <c:v>1262.2559073769892</c:v>
                </c:pt>
                <c:pt idx="622">
                  <c:v>1254.6467801886038</c:v>
                </c:pt>
                <c:pt idx="623">
                  <c:v>1246.9619419225851</c:v>
                </c:pt>
                <c:pt idx="624">
                  <c:v>1239.2018502889675</c:v>
                </c:pt>
                <c:pt idx="625">
                  <c:v>1231.3669655199242</c:v>
                </c:pt>
                <c:pt idx="626">
                  <c:v>1223.457750289971</c:v>
                </c:pt>
                <c:pt idx="627">
                  <c:v>1215.4746696362863</c:v>
                </c:pt>
                <c:pt idx="628">
                  <c:v>1207.4181908791631</c:v>
                </c:pt>
                <c:pt idx="629">
                  <c:v>1199.2887835426257</c:v>
                </c:pt>
                <c:pt idx="630">
                  <c:v>1191.0869192752264</c:v>
                </c:pt>
                <c:pt idx="631">
                  <c:v>1182.8130717710524</c:v>
                </c:pt>
                <c:pt idx="632">
                  <c:v>1174.467716690961</c:v>
                </c:pt>
                <c:pt idx="633">
                  <c:v>1166.0513315840678</c:v>
                </c:pt>
                <c:pt idx="634">
                  <c:v>1157.5643958095104</c:v>
                </c:pt>
                <c:pt idx="635">
                  <c:v>1149.0073904585065</c:v>
                </c:pt>
                <c:pt idx="636">
                  <c:v>1140.3807982767325</c:v>
                </c:pt>
                <c:pt idx="637">
                  <c:v>1131.6851035870388</c:v>
                </c:pt>
                <c:pt idx="638">
                  <c:v>1122.9207922125261</c:v>
                </c:pt>
                <c:pt idx="639">
                  <c:v>1114.0883514000002</c:v>
                </c:pt>
                <c:pt idx="640">
                  <c:v>1105.1882697438273</c:v>
                </c:pt>
                <c:pt idx="641">
                  <c:v>1096.2210371102076</c:v>
                </c:pt>
                <c:pt idx="642">
                  <c:v>1087.1871445618872</c:v>
                </c:pt>
                <c:pt idx="643">
                  <c:v>1078.0870842833267</c:v>
                </c:pt>
                <c:pt idx="644">
                  <c:v>1068.9213495063434</c:v>
                </c:pt>
                <c:pt idx="645">
                  <c:v>1059.6904344362472</c:v>
                </c:pt>
                <c:pt idx="646">
                  <c:v>1050.3948341784856</c:v>
                </c:pt>
                <c:pt idx="647">
                  <c:v>1041.0350446658153</c:v>
                </c:pt>
                <c:pt idx="648">
                  <c:v>1031.6115625860173</c:v>
                </c:pt>
                <c:pt idx="649">
                  <c:v>1022.1248853101699</c:v>
                </c:pt>
                <c:pt idx="650">
                  <c:v>1012.575510821498</c:v>
                </c:pt>
                <c:pt idx="651">
                  <c:v>1002.9639376448107</c:v>
                </c:pt>
                <c:pt idx="652">
                  <c:v>993.29066477654419</c:v>
                </c:pt>
                <c:pt idx="653">
                  <c:v>983.55619161542302</c:v>
                </c:pt>
                <c:pt idx="654">
                  <c:v>973.76101789375389</c:v>
                </c:pt>
                <c:pt idx="655">
                  <c:v>963.9056436093656</c:v>
                </c:pt>
                <c:pt idx="656">
                  <c:v>953.99056895820729</c:v>
                </c:pt>
                <c:pt idx="657">
                  <c:v>944.01629426761849</c:v>
                </c:pt>
                <c:pt idx="658">
                  <c:v>933.98331993028205</c:v>
                </c:pt>
                <c:pt idx="659">
                  <c:v>923.89214633887218</c:v>
                </c:pt>
                <c:pt idx="660">
                  <c:v>913.74327382140814</c:v>
                </c:pt>
                <c:pt idx="661">
                  <c:v>903.53720257732516</c:v>
                </c:pt>
                <c:pt idx="662">
                  <c:v>893.2744326142722</c:v>
                </c:pt>
                <c:pt idx="663">
                  <c:v>882.95546368564612</c:v>
                </c:pt>
                <c:pt idx="664">
                  <c:v>872.58079522887238</c:v>
                </c:pt>
                <c:pt idx="665">
                  <c:v>862.15092630444065</c:v>
                </c:pt>
                <c:pt idx="666">
                  <c:v>851.66635553570438</c:v>
                </c:pt>
                <c:pt idx="667">
                  <c:v>841.12758104945158</c:v>
                </c:pt>
                <c:pt idx="668">
                  <c:v>830.53510041725531</c:v>
                </c:pt>
                <c:pt idx="669">
                  <c:v>819.88941059761066</c:v>
                </c:pt>
                <c:pt idx="670">
                  <c:v>809.19100787886487</c:v>
                </c:pt>
                <c:pt idx="671">
                  <c:v>798.44038782294763</c:v>
                </c:pt>
                <c:pt idx="672">
                  <c:v>787.63804520990686</c:v>
                </c:pt>
                <c:pt idx="673">
                  <c:v>776.78447398325591</c:v>
                </c:pt>
                <c:pt idx="674">
                  <c:v>765.88016719613665</c:v>
                </c:pt>
                <c:pt idx="675">
                  <c:v>754.92561695830489</c:v>
                </c:pt>
                <c:pt idx="676">
                  <c:v>743.92131438394006</c:v>
                </c:pt>
                <c:pt idx="677">
                  <c:v>732.86774954028544</c:v>
                </c:pt>
                <c:pt idx="678">
                  <c:v>721.7654113971206</c:v>
                </c:pt>
                <c:pt idx="679">
                  <c:v>710.61478777707066</c:v>
                </c:pt>
                <c:pt idx="680">
                  <c:v>699.41636530675441</c:v>
                </c:pt>
                <c:pt idx="681">
                  <c:v>688.17062936877369</c:v>
                </c:pt>
                <c:pt idx="682">
                  <c:v>676.87806405454683</c:v>
                </c:pt>
                <c:pt idx="683">
                  <c:v>665.53915211798653</c:v>
                </c:pt>
                <c:pt idx="684">
                  <c:v>654.15437493002503</c:v>
                </c:pt>
                <c:pt idx="685">
                  <c:v>642.72421243398628</c:v>
                </c:pt>
                <c:pt idx="686">
                  <c:v>631.24914310180691</c:v>
                </c:pt>
                <c:pt idx="687">
                  <c:v>619.72964389110473</c:v>
                </c:pt>
                <c:pt idx="688">
                  <c:v>608.16619020309668</c:v>
                </c:pt>
                <c:pt idx="689">
                  <c:v>596.55925584136423</c:v>
                </c:pt>
                <c:pt idx="690">
                  <c:v>584.90931297146608</c:v>
                </c:pt>
                <c:pt idx="691">
                  <c:v>573.2168320813978</c:v>
                </c:pt>
                <c:pt idx="692">
                  <c:v>561.48228194289595</c:v>
                </c:pt>
                <c:pt idx="693">
                  <c:v>549.70612957358617</c:v>
                </c:pt>
                <c:pt idx="694">
                  <c:v>537.88884019997215</c:v>
                </c:pt>
                <c:pt idx="695">
                  <c:v>526.03087722126452</c:v>
                </c:pt>
                <c:pt idx="696">
                  <c:v>514.13270217404636</c:v>
                </c:pt>
                <c:pt idx="697">
                  <c:v>502.19477469777269</c:v>
                </c:pt>
                <c:pt idx="698">
                  <c:v>490.2175525011009</c:v>
                </c:pt>
                <c:pt idx="699">
                  <c:v>478.20149132904936</c:v>
                </c:pt>
                <c:pt idx="700">
                  <c:v>466.14704493097975</c:v>
                </c:pt>
                <c:pt idx="701">
                  <c:v>454.05466502939987</c:v>
                </c:pt>
                <c:pt idx="702">
                  <c:v>441.92480128958294</c:v>
                </c:pt>
                <c:pt idx="703">
                  <c:v>429.75790128999876</c:v>
                </c:pt>
                <c:pt idx="704">
                  <c:v>417.55441049355227</c:v>
                </c:pt>
                <c:pt idx="705">
                  <c:v>405.31477221962513</c:v>
                </c:pt>
                <c:pt idx="706">
                  <c:v>393.03942761691508</c:v>
                </c:pt>
                <c:pt idx="707">
                  <c:v>380.72881563706756</c:v>
                </c:pt>
                <c:pt idx="708">
                  <c:v>368.38337300909512</c:v>
                </c:pt>
                <c:pt idx="709">
                  <c:v>356.00353421457817</c:v>
                </c:pt>
                <c:pt idx="710">
                  <c:v>343.58973146364167</c:v>
                </c:pt>
                <c:pt idx="711">
                  <c:v>331.14239467170205</c:v>
                </c:pt>
                <c:pt idx="712">
                  <c:v>318.66195143697769</c:v>
                </c:pt>
                <c:pt idx="713">
                  <c:v>306.14882701875717</c:v>
                </c:pt>
                <c:pt idx="714">
                  <c:v>293.60344431641857</c:v>
                </c:pt>
                <c:pt idx="715">
                  <c:v>281.02622384919334</c:v>
                </c:pt>
                <c:pt idx="716">
                  <c:v>268.41758373666784</c:v>
                </c:pt>
                <c:pt idx="717">
                  <c:v>255.77793968001561</c:v>
                </c:pt>
                <c:pt idx="718">
                  <c:v>243.10770494395373</c:v>
                </c:pt>
                <c:pt idx="719">
                  <c:v>230.40729033941557</c:v>
                </c:pt>
                <c:pt idx="720">
                  <c:v>217.67710420693271</c:v>
                </c:pt>
                <c:pt idx="721">
                  <c:v>204.91755240071916</c:v>
                </c:pt>
                <c:pt idx="722">
                  <c:v>192.12903827344942</c:v>
                </c:pt>
                <c:pt idx="723">
                  <c:v>179.31196266172367</c:v>
                </c:pt>
                <c:pt idx="724">
                  <c:v>166.46672387221156</c:v>
                </c:pt>
                <c:pt idx="725">
                  <c:v>153.59371766846726</c:v>
                </c:pt>
                <c:pt idx="726">
                  <c:v>140.69333725840767</c:v>
                </c:pt>
                <c:pt idx="727">
                  <c:v>127.76597328244571</c:v>
                </c:pt>
                <c:pt idx="728">
                  <c:v>114.81201380227068</c:v>
                </c:pt>
                <c:pt idx="729">
                  <c:v>101.83184429026741</c:v>
                </c:pt>
                <c:pt idx="730">
                  <c:v>88.825847619566105</c:v>
                </c:pt>
                <c:pt idx="731">
                  <c:v>75.794404054714477</c:v>
                </c:pt>
                <c:pt idx="732">
                  <c:v>62.737891242963798</c:v>
                </c:pt>
                <c:pt idx="733">
                  <c:v>49.656684206160456</c:v>
                </c:pt>
                <c:pt idx="734">
                  <c:v>36.551155333234618</c:v>
                </c:pt>
                <c:pt idx="735">
                  <c:v>23.421674373277419</c:v>
                </c:pt>
                <c:pt idx="736">
                  <c:v>10.268608429198123</c:v>
                </c:pt>
                <c:pt idx="737">
                  <c:v>-2.907678048047261</c:v>
                </c:pt>
                <c:pt idx="738">
                  <c:v>-2.9208658653494415</c:v>
                </c:pt>
                <c:pt idx="739">
                  <c:v>-2.9340537053299505</c:v>
                </c:pt>
                <c:pt idx="740">
                  <c:v>-2.9472415679884314</c:v>
                </c:pt>
                <c:pt idx="741">
                  <c:v>-2.9604294533245268</c:v>
                </c:pt>
                <c:pt idx="742">
                  <c:v>-2.97361736133788</c:v>
                </c:pt>
                <c:pt idx="743">
                  <c:v>-2.9868052920281336</c:v>
                </c:pt>
                <c:pt idx="744">
                  <c:v>-2.999993245394931</c:v>
                </c:pt>
                <c:pt idx="745">
                  <c:v>-3.0131812214379146</c:v>
                </c:pt>
                <c:pt idx="746">
                  <c:v>-3.0263692201567274</c:v>
                </c:pt>
                <c:pt idx="747">
                  <c:v>-3.0395572415510124</c:v>
                </c:pt>
                <c:pt idx="748">
                  <c:v>-3.0527452856204129</c:v>
                </c:pt>
                <c:pt idx="749">
                  <c:v>-3.0659333523645715</c:v>
                </c:pt>
                <c:pt idx="750">
                  <c:v>-3.0791214417831312</c:v>
                </c:pt>
                <c:pt idx="751">
                  <c:v>-3.0923095538757348</c:v>
                </c:pt>
                <c:pt idx="752">
                  <c:v>-3.1054976886420254</c:v>
                </c:pt>
                <c:pt idx="753">
                  <c:v>-3.1186858460816458</c:v>
                </c:pt>
                <c:pt idx="754">
                  <c:v>-3.131874026194239</c:v>
                </c:pt>
                <c:pt idx="755">
                  <c:v>-3.1450622289794485</c:v>
                </c:pt>
                <c:pt idx="756">
                  <c:v>-3.1582504544369168</c:v>
                </c:pt>
                <c:pt idx="757">
                  <c:v>-3.1714387025662867</c:v>
                </c:pt>
                <c:pt idx="758">
                  <c:v>-3.1846269733672012</c:v>
                </c:pt>
                <c:pt idx="759">
                  <c:v>-3.1978152668393038</c:v>
                </c:pt>
                <c:pt idx="760">
                  <c:v>-3.211003582982237</c:v>
                </c:pt>
                <c:pt idx="761">
                  <c:v>-3.2241919217956436</c:v>
                </c:pt>
                <c:pt idx="762">
                  <c:v>-3.2373802832791672</c:v>
                </c:pt>
                <c:pt idx="763">
                  <c:v>-3.2505686674324501</c:v>
                </c:pt>
                <c:pt idx="764">
                  <c:v>-3.2637570742551358</c:v>
                </c:pt>
                <c:pt idx="765">
                  <c:v>-3.2769455037468669</c:v>
                </c:pt>
                <c:pt idx="766">
                  <c:v>-3.2901339559072866</c:v>
                </c:pt>
                <c:pt idx="767">
                  <c:v>-3.303322430736038</c:v>
                </c:pt>
                <c:pt idx="768">
                  <c:v>-3.3165109282327641</c:v>
                </c:pt>
                <c:pt idx="769">
                  <c:v>-3.3296994483971076</c:v>
                </c:pt>
                <c:pt idx="770">
                  <c:v>-3.3428879912287117</c:v>
                </c:pt>
                <c:pt idx="771">
                  <c:v>-3.3560765567272193</c:v>
                </c:pt>
                <c:pt idx="772">
                  <c:v>-3.3692651448922737</c:v>
                </c:pt>
                <c:pt idx="773">
                  <c:v>-3.3824537557235175</c:v>
                </c:pt>
                <c:pt idx="774">
                  <c:v>-3.395642389220594</c:v>
                </c:pt>
                <c:pt idx="775">
                  <c:v>-3.4088310453831459</c:v>
                </c:pt>
                <c:pt idx="776">
                  <c:v>-3.4220197242108163</c:v>
                </c:pt>
                <c:pt idx="777">
                  <c:v>-3.4352084257032485</c:v>
                </c:pt>
                <c:pt idx="778">
                  <c:v>-3.4483971498600852</c:v>
                </c:pt>
                <c:pt idx="779">
                  <c:v>-3.4615858966809698</c:v>
                </c:pt>
                <c:pt idx="780">
                  <c:v>-3.474774666165545</c:v>
                </c:pt>
                <c:pt idx="781">
                  <c:v>-3.487963458313454</c:v>
                </c:pt>
                <c:pt idx="782">
                  <c:v>-3.5011522731243394</c:v>
                </c:pt>
                <c:pt idx="783">
                  <c:v>-3.5143411105978446</c:v>
                </c:pt>
                <c:pt idx="784">
                  <c:v>-3.527529970733613</c:v>
                </c:pt>
                <c:pt idx="785">
                  <c:v>-3.540718853531287</c:v>
                </c:pt>
                <c:pt idx="786">
                  <c:v>-3.5539077589905101</c:v>
                </c:pt>
                <c:pt idx="787">
                  <c:v>-3.5670966871109249</c:v>
                </c:pt>
                <c:pt idx="788">
                  <c:v>-3.5802856378921746</c:v>
                </c:pt>
                <c:pt idx="789">
                  <c:v>-3.5934746113339022</c:v>
                </c:pt>
                <c:pt idx="790">
                  <c:v>-3.6066636074357512</c:v>
                </c:pt>
                <c:pt idx="791">
                  <c:v>-3.6198526261973645</c:v>
                </c:pt>
                <c:pt idx="792">
                  <c:v>-3.6330416676183845</c:v>
                </c:pt>
                <c:pt idx="793">
                  <c:v>-3.6462307316984552</c:v>
                </c:pt>
                <c:pt idx="794">
                  <c:v>-3.6594198184372191</c:v>
                </c:pt>
                <c:pt idx="795">
                  <c:v>-3.6726089278343195</c:v>
                </c:pt>
                <c:pt idx="796">
                  <c:v>-3.6857980598893989</c:v>
                </c:pt>
                <c:pt idx="797">
                  <c:v>-3.6989872146021012</c:v>
                </c:pt>
                <c:pt idx="798">
                  <c:v>-3.7121763919720689</c:v>
                </c:pt>
                <c:pt idx="799">
                  <c:v>-3.7253655919989455</c:v>
                </c:pt>
                <c:pt idx="800">
                  <c:v>-3.7385548146823737</c:v>
                </c:pt>
                <c:pt idx="801">
                  <c:v>-3.7517440600219967</c:v>
                </c:pt>
                <c:pt idx="802">
                  <c:v>-3.7649333280174573</c:v>
                </c:pt>
                <c:pt idx="803">
                  <c:v>-3.7781226186683989</c:v>
                </c:pt>
                <c:pt idx="804">
                  <c:v>-3.7913119319744646</c:v>
                </c:pt>
                <c:pt idx="805">
                  <c:v>-3.8045012679352976</c:v>
                </c:pt>
                <c:pt idx="806">
                  <c:v>-3.817690626550541</c:v>
                </c:pt>
                <c:pt idx="807">
                  <c:v>-3.8308800078198377</c:v>
                </c:pt>
                <c:pt idx="808">
                  <c:v>-3.8440694117428307</c:v>
                </c:pt>
                <c:pt idx="809">
                  <c:v>-3.8572588383191633</c:v>
                </c:pt>
                <c:pt idx="810">
                  <c:v>-3.8704482875484785</c:v>
                </c:pt>
                <c:pt idx="811">
                  <c:v>-3.8836377594304197</c:v>
                </c:pt>
                <c:pt idx="812">
                  <c:v>-3.8968272539646294</c:v>
                </c:pt>
                <c:pt idx="813">
                  <c:v>-3.9100167711507514</c:v>
                </c:pt>
                <c:pt idx="814">
                  <c:v>-3.9232063109884283</c:v>
                </c:pt>
                <c:pt idx="815">
                  <c:v>-3.9363958734773035</c:v>
                </c:pt>
                <c:pt idx="816">
                  <c:v>-3.9495854586170198</c:v>
                </c:pt>
                <c:pt idx="817">
                  <c:v>-3.9627750664072208</c:v>
                </c:pt>
                <c:pt idx="818">
                  <c:v>-3.9759646968475493</c:v>
                </c:pt>
                <c:pt idx="819">
                  <c:v>-3.9891543499376483</c:v>
                </c:pt>
                <c:pt idx="820">
                  <c:v>-4.0023440256771616</c:v>
                </c:pt>
                <c:pt idx="821">
                  <c:v>-4.0155337240657314</c:v>
                </c:pt>
                <c:pt idx="822">
                  <c:v>-4.0287234451030018</c:v>
                </c:pt>
                <c:pt idx="823">
                  <c:v>-4.0419131887886151</c:v>
                </c:pt>
                <c:pt idx="824">
                  <c:v>-4.0551029551222149</c:v>
                </c:pt>
                <c:pt idx="825">
                  <c:v>-4.0682927441034442</c:v>
                </c:pt>
                <c:pt idx="826">
                  <c:v>-4.0814825557319461</c:v>
                </c:pt>
                <c:pt idx="827">
                  <c:v>-4.0946723900073634</c:v>
                </c:pt>
                <c:pt idx="828">
                  <c:v>-4.10786224692934</c:v>
                </c:pt>
                <c:pt idx="829">
                  <c:v>-4.1210521264975188</c:v>
                </c:pt>
                <c:pt idx="830">
                  <c:v>-4.1342420287115429</c:v>
                </c:pt>
                <c:pt idx="831">
                  <c:v>-4.1474319535710551</c:v>
                </c:pt>
                <c:pt idx="832">
                  <c:v>-4.1606219010756993</c:v>
                </c:pt>
                <c:pt idx="833">
                  <c:v>-4.1738118712251184</c:v>
                </c:pt>
                <c:pt idx="834">
                  <c:v>-4.1870018640189555</c:v>
                </c:pt>
                <c:pt idx="835">
                  <c:v>-4.2001918794568533</c:v>
                </c:pt>
                <c:pt idx="836">
                  <c:v>-4.2133819175384559</c:v>
                </c:pt>
                <c:pt idx="837">
                  <c:v>-4.2265719782634052</c:v>
                </c:pt>
                <c:pt idx="838">
                  <c:v>-4.2397620616313452</c:v>
                </c:pt>
                <c:pt idx="839">
                  <c:v>-4.2529521676419195</c:v>
                </c:pt>
                <c:pt idx="840">
                  <c:v>-4.2661422962947704</c:v>
                </c:pt>
                <c:pt idx="841">
                  <c:v>-4.2793324475895416</c:v>
                </c:pt>
                <c:pt idx="842">
                  <c:v>-4.292522621525876</c:v>
                </c:pt>
                <c:pt idx="843">
                  <c:v>-4.3057128181034177</c:v>
                </c:pt>
                <c:pt idx="844">
                  <c:v>-4.3189030373218085</c:v>
                </c:pt>
                <c:pt idx="845">
                  <c:v>-4.3320932791806923</c:v>
                </c:pt>
                <c:pt idx="846">
                  <c:v>-4.3452835436797121</c:v>
                </c:pt>
                <c:pt idx="847">
                  <c:v>-4.3584738308185118</c:v>
                </c:pt>
                <c:pt idx="848">
                  <c:v>-4.3716641405967334</c:v>
                </c:pt>
                <c:pt idx="849">
                  <c:v>-4.3848544730140206</c:v>
                </c:pt>
                <c:pt idx="850">
                  <c:v>-4.3980448280700175</c:v>
                </c:pt>
                <c:pt idx="851">
                  <c:v>-4.411235205764366</c:v>
                </c:pt>
                <c:pt idx="852">
                  <c:v>-4.42442560609671</c:v>
                </c:pt>
                <c:pt idx="853">
                  <c:v>-4.4376160290666933</c:v>
                </c:pt>
                <c:pt idx="854">
                  <c:v>-4.450806474673958</c:v>
                </c:pt>
                <c:pt idx="855">
                  <c:v>-4.4639969429181479</c:v>
                </c:pt>
                <c:pt idx="856">
                  <c:v>-4.4771874337989059</c:v>
                </c:pt>
                <c:pt idx="857">
                  <c:v>-4.4903779473158751</c:v>
                </c:pt>
                <c:pt idx="858">
                  <c:v>-4.5035684834686993</c:v>
                </c:pt>
                <c:pt idx="859">
                  <c:v>-4.5167590422570214</c:v>
                </c:pt>
                <c:pt idx="860">
                  <c:v>-4.5299496236804853</c:v>
                </c:pt>
                <c:pt idx="861">
                  <c:v>-4.5431402277387329</c:v>
                </c:pt>
                <c:pt idx="862">
                  <c:v>-4.5563308544314083</c:v>
                </c:pt>
                <c:pt idx="863">
                  <c:v>-4.5695215037581551</c:v>
                </c:pt>
                <c:pt idx="864">
                  <c:v>-4.5827121757186156</c:v>
                </c:pt>
                <c:pt idx="865">
                  <c:v>-4.5959028703124334</c:v>
                </c:pt>
                <c:pt idx="866">
                  <c:v>-4.6090935875392525</c:v>
                </c:pt>
                <c:pt idx="867">
                  <c:v>-4.6222843273987149</c:v>
                </c:pt>
                <c:pt idx="868">
                  <c:v>-4.6354750898904644</c:v>
                </c:pt>
                <c:pt idx="869">
                  <c:v>-4.648665875014145</c:v>
                </c:pt>
                <c:pt idx="870">
                  <c:v>-4.6618566827693995</c:v>
                </c:pt>
                <c:pt idx="871">
                  <c:v>-4.6750475131558709</c:v>
                </c:pt>
                <c:pt idx="872">
                  <c:v>-4.6882383661732021</c:v>
                </c:pt>
                <c:pt idx="873">
                  <c:v>-4.7014292418210371</c:v>
                </c:pt>
                <c:pt idx="874">
                  <c:v>-4.7146201400990186</c:v>
                </c:pt>
                <c:pt idx="875">
                  <c:v>-4.7278110610067907</c:v>
                </c:pt>
                <c:pt idx="876">
                  <c:v>-4.7410020045439953</c:v>
                </c:pt>
                <c:pt idx="877">
                  <c:v>-4.7541929707102772</c:v>
                </c:pt>
                <c:pt idx="878">
                  <c:v>-4.7673839595052785</c:v>
                </c:pt>
                <c:pt idx="879">
                  <c:v>-4.7805749709286429</c:v>
                </c:pt>
                <c:pt idx="880">
                  <c:v>-4.7937660049800144</c:v>
                </c:pt>
                <c:pt idx="881">
                  <c:v>-4.8069570616590349</c:v>
                </c:pt>
                <c:pt idx="882">
                  <c:v>-4.8201481409653493</c:v>
                </c:pt>
                <c:pt idx="883">
                  <c:v>-4.8333392428985995</c:v>
                </c:pt>
                <c:pt idx="884">
                  <c:v>-4.8465303674584295</c:v>
                </c:pt>
                <c:pt idx="885">
                  <c:v>-4.8597215146444821</c:v>
                </c:pt>
                <c:pt idx="886">
                  <c:v>-4.8729126844564012</c:v>
                </c:pt>
                <c:pt idx="887">
                  <c:v>-4.8861038768938299</c:v>
                </c:pt>
                <c:pt idx="888">
                  <c:v>-4.8992950919564118</c:v>
                </c:pt>
                <c:pt idx="889">
                  <c:v>-4.91248632964379</c:v>
                </c:pt>
                <c:pt idx="890">
                  <c:v>-4.9256775899556073</c:v>
                </c:pt>
                <c:pt idx="891">
                  <c:v>-4.9388688728915078</c:v>
                </c:pt>
                <c:pt idx="892">
                  <c:v>-4.9520601784511342</c:v>
                </c:pt>
                <c:pt idx="893">
                  <c:v>-4.9652515066341296</c:v>
                </c:pt>
                <c:pt idx="894">
                  <c:v>-4.9784428574401378</c:v>
                </c:pt>
                <c:pt idx="895">
                  <c:v>-4.9916342308688026</c:v>
                </c:pt>
                <c:pt idx="896">
                  <c:v>-5.0048256269197671</c:v>
                </c:pt>
                <c:pt idx="897">
                  <c:v>-5.018017045592674</c:v>
                </c:pt>
                <c:pt idx="898">
                  <c:v>-5.0312084868871674</c:v>
                </c:pt>
                <c:pt idx="899">
                  <c:v>-5.0443999508028901</c:v>
                </c:pt>
                <c:pt idx="900">
                  <c:v>-5.057591437339485</c:v>
                </c:pt>
                <c:pt idx="901">
                  <c:v>-5.0707829464965961</c:v>
                </c:pt>
                <c:pt idx="902">
                  <c:v>-5.0839744782738672</c:v>
                </c:pt>
                <c:pt idx="903">
                  <c:v>-5.0971660326709411</c:v>
                </c:pt>
                <c:pt idx="904">
                  <c:v>-5.110357609687461</c:v>
                </c:pt>
                <c:pt idx="905">
                  <c:v>-5.1235492093230706</c:v>
                </c:pt>
                <c:pt idx="906">
                  <c:v>-5.1367408315774128</c:v>
                </c:pt>
                <c:pt idx="907">
                  <c:v>-5.1499324764501315</c:v>
                </c:pt>
                <c:pt idx="908">
                  <c:v>-5.1631241439408697</c:v>
                </c:pt>
                <c:pt idx="909">
                  <c:v>-5.1763158340492712</c:v>
                </c:pt>
                <c:pt idx="910">
                  <c:v>-5.1895075467749789</c:v>
                </c:pt>
                <c:pt idx="911">
                  <c:v>-5.2026992821176368</c:v>
                </c:pt>
                <c:pt idx="912">
                  <c:v>-5.2158910400768876</c:v>
                </c:pt>
                <c:pt idx="913">
                  <c:v>-5.2290828206523745</c:v>
                </c:pt>
                <c:pt idx="914">
                  <c:v>-5.2422746238437412</c:v>
                </c:pt>
                <c:pt idx="915">
                  <c:v>-5.2554664496506316</c:v>
                </c:pt>
                <c:pt idx="916">
                  <c:v>-5.2686582980726886</c:v>
                </c:pt>
                <c:pt idx="917">
                  <c:v>-5.2818501691095552</c:v>
                </c:pt>
                <c:pt idx="918">
                  <c:v>-5.2950420627608752</c:v>
                </c:pt>
                <c:pt idx="919">
                  <c:v>-5.3082339790262925</c:v>
                </c:pt>
                <c:pt idx="920">
                  <c:v>-5.3214259179054499</c:v>
                </c:pt>
                <c:pt idx="921">
                  <c:v>-5.3346178793979906</c:v>
                </c:pt>
                <c:pt idx="922">
                  <c:v>-5.3478098635035582</c:v>
                </c:pt>
                <c:pt idx="923">
                  <c:v>-5.3610018702217968</c:v>
                </c:pt>
                <c:pt idx="924">
                  <c:v>-5.3741938995523491</c:v>
                </c:pt>
                <c:pt idx="925">
                  <c:v>-5.3873859514948581</c:v>
                </c:pt>
                <c:pt idx="926">
                  <c:v>-5.4005780260489678</c:v>
                </c:pt>
                <c:pt idx="927">
                  <c:v>-5.4137701232143218</c:v>
                </c:pt>
                <c:pt idx="928">
                  <c:v>-5.4269622429905633</c:v>
                </c:pt>
                <c:pt idx="929">
                  <c:v>-5.4401543853773351</c:v>
                </c:pt>
                <c:pt idx="930">
                  <c:v>-5.4533465503742811</c:v>
                </c:pt>
                <c:pt idx="931">
                  <c:v>-5.4665387379810451</c:v>
                </c:pt>
                <c:pt idx="932">
                  <c:v>-5.47973094819727</c:v>
                </c:pt>
                <c:pt idx="933">
                  <c:v>-5.4929231810225998</c:v>
                </c:pt>
                <c:pt idx="934">
                  <c:v>-5.5061154364566773</c:v>
                </c:pt>
                <c:pt idx="935">
                  <c:v>-5.5193077144991465</c:v>
                </c:pt>
                <c:pt idx="936">
                  <c:v>-5.5325000151496502</c:v>
                </c:pt>
                <c:pt idx="937">
                  <c:v>-5.5456923384078323</c:v>
                </c:pt>
                <c:pt idx="938">
                  <c:v>-5.5588846842733357</c:v>
                </c:pt>
                <c:pt idx="939">
                  <c:v>-5.5720770527458043</c:v>
                </c:pt>
                <c:pt idx="940">
                  <c:v>-5.585269443824882</c:v>
                </c:pt>
                <c:pt idx="941">
                  <c:v>-5.5984618575102116</c:v>
                </c:pt>
                <c:pt idx="942">
                  <c:v>-5.6116542938014371</c:v>
                </c:pt>
                <c:pt idx="943">
                  <c:v>-5.6248467526982013</c:v>
                </c:pt>
                <c:pt idx="944">
                  <c:v>-5.6380392342001482</c:v>
                </c:pt>
                <c:pt idx="945">
                  <c:v>-5.6512317383069206</c:v>
                </c:pt>
                <c:pt idx="946">
                  <c:v>-5.6644242650181624</c:v>
                </c:pt>
                <c:pt idx="947">
                  <c:v>-5.6776168143335175</c:v>
                </c:pt>
                <c:pt idx="948">
                  <c:v>-5.6908093862526288</c:v>
                </c:pt>
                <c:pt idx="949">
                  <c:v>-5.7040019807751392</c:v>
                </c:pt>
                <c:pt idx="950">
                  <c:v>-5.7171945979006935</c:v>
                </c:pt>
                <c:pt idx="951">
                  <c:v>-5.7303872376289346</c:v>
                </c:pt>
                <c:pt idx="952">
                  <c:v>-5.7435798999595056</c:v>
                </c:pt>
                <c:pt idx="953">
                  <c:v>-5.7567725848920501</c:v>
                </c:pt>
                <c:pt idx="954">
                  <c:v>-5.7699652924262121</c:v>
                </c:pt>
                <c:pt idx="955">
                  <c:v>-5.7831580225616346</c:v>
                </c:pt>
                <c:pt idx="956">
                  <c:v>-5.7963507752979613</c:v>
                </c:pt>
                <c:pt idx="957">
                  <c:v>-5.8095435506348352</c:v>
                </c:pt>
                <c:pt idx="958">
                  <c:v>-5.8227363485719001</c:v>
                </c:pt>
                <c:pt idx="959">
                  <c:v>-5.8359291691088</c:v>
                </c:pt>
                <c:pt idx="960">
                  <c:v>-5.8491220122451777</c:v>
                </c:pt>
                <c:pt idx="961">
                  <c:v>-5.8623148779806771</c:v>
                </c:pt>
                <c:pt idx="962">
                  <c:v>-5.875507766314942</c:v>
                </c:pt>
                <c:pt idx="963">
                  <c:v>-5.8887006772476154</c:v>
                </c:pt>
                <c:pt idx="964">
                  <c:v>-5.9018936107783411</c:v>
                </c:pt>
                <c:pt idx="965">
                  <c:v>-5.915086566906762</c:v>
                </c:pt>
                <c:pt idx="966">
                  <c:v>-5.9282795456325221</c:v>
                </c:pt>
                <c:pt idx="967">
                  <c:v>-5.9414725469552652</c:v>
                </c:pt>
                <c:pt idx="968">
                  <c:v>-5.9546655708746341</c:v>
                </c:pt>
                <c:pt idx="969">
                  <c:v>-5.9678586173902728</c:v>
                </c:pt>
                <c:pt idx="970">
                  <c:v>-5.9810516865018251</c:v>
                </c:pt>
                <c:pt idx="971">
                  <c:v>-5.9942447782089339</c:v>
                </c:pt>
                <c:pt idx="972">
                  <c:v>-6.007437892511243</c:v>
                </c:pt>
                <c:pt idx="973">
                  <c:v>-6.0206310294083965</c:v>
                </c:pt>
                <c:pt idx="974">
                  <c:v>-6.033824188900037</c:v>
                </c:pt>
                <c:pt idx="975">
                  <c:v>-6.0470173709858086</c:v>
                </c:pt>
                <c:pt idx="976">
                  <c:v>-6.060210575665355</c:v>
                </c:pt>
                <c:pt idx="977">
                  <c:v>-6.0734038029383193</c:v>
                </c:pt>
                <c:pt idx="978">
                  <c:v>-6.0865970528043452</c:v>
                </c:pt>
                <c:pt idx="979">
                  <c:v>-6.0997903252630756</c:v>
                </c:pt>
                <c:pt idx="980">
                  <c:v>-6.1129836203141545</c:v>
                </c:pt>
                <c:pt idx="981">
                  <c:v>-6.1261769379572257</c:v>
                </c:pt>
                <c:pt idx="982">
                  <c:v>-6.139370278191933</c:v>
                </c:pt>
                <c:pt idx="983">
                  <c:v>-6.1525636410179194</c:v>
                </c:pt>
                <c:pt idx="984">
                  <c:v>-6.1657570264348287</c:v>
                </c:pt>
                <c:pt idx="985">
                  <c:v>-6.1789504344423047</c:v>
                </c:pt>
                <c:pt idx="986">
                  <c:v>-6.1921438650399905</c:v>
                </c:pt>
                <c:pt idx="987">
                  <c:v>-6.2053373182275298</c:v>
                </c:pt>
                <c:pt idx="988">
                  <c:v>-6.2185307940045664</c:v>
                </c:pt>
                <c:pt idx="989">
                  <c:v>-6.2317242923707443</c:v>
                </c:pt>
                <c:pt idx="990">
                  <c:v>-6.2449178133257064</c:v>
                </c:pt>
                <c:pt idx="991">
                  <c:v>-6.2581113568690965</c:v>
                </c:pt>
                <c:pt idx="992">
                  <c:v>-6.2713049230005575</c:v>
                </c:pt>
                <c:pt idx="993">
                  <c:v>-6.2844985117197343</c:v>
                </c:pt>
                <c:pt idx="994">
                  <c:v>-6.2976921230262697</c:v>
                </c:pt>
                <c:pt idx="995">
                  <c:v>-6.3108857569198067</c:v>
                </c:pt>
                <c:pt idx="996">
                  <c:v>-6.32407941339999</c:v>
                </c:pt>
                <c:pt idx="997">
                  <c:v>-6.3372730924664626</c:v>
                </c:pt>
                <c:pt idx="998">
                  <c:v>-6.3504667941188684</c:v>
                </c:pt>
                <c:pt idx="999">
                  <c:v>-6.3636605183568511</c:v>
                </c:pt>
                <c:pt idx="1000">
                  <c:v>-6.3768542651800537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BC-E84B-8A2E-77A3E8DE6A60}"/>
            </c:ext>
          </c:extLst>
        </c:ser>
        <c:ser>
          <c:idx val="1"/>
          <c:order val="2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3.562696885685801E-5</c:v>
                </c:pt>
                <c:pt idx="2">
                  <c:v>1.1875575187218533E-3</c:v>
                </c:pt>
                <c:pt idx="3">
                  <c:v>5.5464952848076647E-3</c:v>
                </c:pt>
                <c:pt idx="4">
                  <c:v>1.5204678378389128E-2</c:v>
                </c:pt>
                <c:pt idx="5">
                  <c:v>3.2256526919684975E-2</c:v>
                </c:pt>
                <c:pt idx="6">
                  <c:v>5.8269452385194841E-2</c:v>
                </c:pt>
                <c:pt idx="7">
                  <c:v>9.3753305161804801E-2</c:v>
                </c:pt>
                <c:pt idx="8">
                  <c:v>0.13868858422863994</c:v>
                </c:pt>
                <c:pt idx="9">
                  <c:v>0.19305568704877241</c:v>
                </c:pt>
                <c:pt idx="10">
                  <c:v>0.25683490991255581</c:v>
                </c:pt>
                <c:pt idx="11">
                  <c:v>0.33000644828484993</c:v>
                </c:pt>
                <c:pt idx="12">
                  <c:v>0.41255039715610847</c:v>
                </c:pt>
                <c:pt idx="13">
                  <c:v>0.50444675139730177</c:v>
                </c:pt>
                <c:pt idx="14">
                  <c:v>0.60567540611864645</c:v>
                </c:pt>
                <c:pt idx="15">
                  <c:v>0.71621615703211317</c:v>
                </c:pt>
                <c:pt idx="16">
                  <c:v>0.83604870081768412</c:v>
                </c:pt>
                <c:pt idx="17">
                  <c:v>0.96515263549333041</c:v>
                </c:pt>
                <c:pt idx="18">
                  <c:v>1.1035074607886803</c:v>
                </c:pt>
                <c:pt idx="19">
                  <c:v>1.2510925785223481</c:v>
                </c:pt>
                <c:pt idx="20">
                  <c:v>1.4078872929828936</c:v>
                </c:pt>
                <c:pt idx="21">
                  <c:v>1.5738708113133821</c:v>
                </c:pt>
                <c:pt idx="22">
                  <c:v>1.7490222438995127</c:v>
                </c:pt>
                <c:pt idx="23">
                  <c:v>1.9333206047612856</c:v>
                </c:pt>
                <c:pt idx="24">
                  <c:v>2.1267448119481767</c:v>
                </c:pt>
                <c:pt idx="25">
                  <c:v>2.3292736879377847</c:v>
                </c:pt>
                <c:pt idx="26">
                  <c:v>2.540885960037925</c:v>
                </c:pt>
                <c:pt idx="27">
                  <c:v>2.7615602607921304</c:v>
                </c:pt>
                <c:pt idx="28">
                  <c:v>2.9912751283885326</c:v>
                </c:pt>
                <c:pt idx="29">
                  <c:v>3.230009007072089</c:v>
                </c:pt>
                <c:pt idx="30">
                  <c:v>3.4777402475601189</c:v>
                </c:pt>
                <c:pt idx="31">
                  <c:v>3.7344471074611216</c:v>
                </c:pt>
                <c:pt idx="32">
                  <c:v>4.000107751696838</c:v>
                </c:pt>
                <c:pt idx="33">
                  <c:v>4.274696525166461</c:v>
                </c:pt>
                <c:pt idx="34">
                  <c:v>4.5581875509029022</c:v>
                </c:pt>
                <c:pt idx="35">
                  <c:v>4.8505584600409337</c:v>
                </c:pt>
                <c:pt idx="36">
                  <c:v>5.1517867981019645</c:v>
                </c:pt>
                <c:pt idx="37">
                  <c:v>5.4618500270532619</c:v>
                </c:pt>
                <c:pt idx="38">
                  <c:v>5.7807255254015475</c:v>
                </c:pt>
                <c:pt idx="39">
                  <c:v>6.108390588317401</c:v>
                </c:pt>
                <c:pt idx="40">
                  <c:v>6.4448224277874928</c:v>
                </c:pt>
                <c:pt idx="41">
                  <c:v>6.78999817279204</c:v>
                </c:pt>
                <c:pt idx="42">
                  <c:v>7.1438948695052158</c:v>
                </c:pt>
                <c:pt idx="43">
                  <c:v>7.5064894815165157</c:v>
                </c:pt>
                <c:pt idx="44">
                  <c:v>7.8777588900713127</c:v>
                </c:pt>
                <c:pt idx="45">
                  <c:v>8.2576798943290477</c:v>
                </c:pt>
                <c:pt idx="46">
                  <c:v>8.6462292116376762</c:v>
                </c:pt>
                <c:pt idx="47">
                  <c:v>9.0433834778231219</c:v>
                </c:pt>
                <c:pt idx="48">
                  <c:v>9.4491192474926535</c:v>
                </c:pt>
                <c:pt idx="49">
                  <c:v>9.8634129943511848</c:v>
                </c:pt>
                <c:pt idx="50">
                  <c:v>10.286241111529611</c:v>
                </c:pt>
                <c:pt idx="51">
                  <c:v>10.717582703030709</c:v>
                </c:pt>
                <c:pt idx="52">
                  <c:v>11.157422379425888</c:v>
                </c:pt>
                <c:pt idx="53">
                  <c:v>11.605747472928835</c:v>
                </c:pt>
                <c:pt idx="54">
                  <c:v>12.062545248107767</c:v>
                </c:pt>
                <c:pt idx="55">
                  <c:v>12.5278029020023</c:v>
                </c:pt>
                <c:pt idx="56">
                  <c:v>13.001507564247742</c:v>
                </c:pt>
                <c:pt idx="57">
                  <c:v>13.483646297206469</c:v>
                </c:pt>
                <c:pt idx="58">
                  <c:v>13.974206096106016</c:v>
                </c:pt>
                <c:pt idx="59">
                  <c:v>14.473173889183581</c:v>
                </c:pt>
                <c:pt idx="60">
                  <c:v>14.980536537836667</c:v>
                </c:pt>
                <c:pt idx="61">
                  <c:v>15.496280836779572</c:v>
                </c:pt>
                <c:pt idx="62">
                  <c:v>16.020393514205502</c:v>
                </c:pt>
                <c:pt idx="63">
                  <c:v>16.552861231954065</c:v>
                </c:pt>
                <c:pt idx="64">
                  <c:v>17.093670585683952</c:v>
                </c:pt>
                <c:pt idx="65">
                  <c:v>17.642808105050591</c:v>
                </c:pt>
                <c:pt idx="66">
                  <c:v>18.200260253888597</c:v>
                </c:pt>
                <c:pt idx="67">
                  <c:v>18.766013430398861</c:v>
                </c:pt>
                <c:pt idx="68">
                  <c:v>19.340053967340097</c:v>
                </c:pt>
                <c:pt idx="69">
                  <c:v>19.922368132224715</c:v>
                </c:pt>
                <c:pt idx="70">
                  <c:v>20.51294212751888</c:v>
                </c:pt>
                <c:pt idx="71">
                  <c:v>21.111762090846604</c:v>
                </c:pt>
                <c:pt idx="72">
                  <c:v>21.718814095197782</c:v>
                </c:pt>
                <c:pt idx="73">
                  <c:v>22.334084149140036</c:v>
                </c:pt>
                <c:pt idx="74">
                  <c:v>22.957558197034245</c:v>
                </c:pt>
                <c:pt idx="75">
                  <c:v>23.589222119253687</c:v>
                </c:pt>
                <c:pt idx="76">
                  <c:v>24.229061732406674</c:v>
                </c:pt>
                <c:pt idx="77">
                  <c:v>24.877062789562594</c:v>
                </c:pt>
                <c:pt idx="78">
                  <c:v>25.533210980481272</c:v>
                </c:pt>
                <c:pt idx="79">
                  <c:v>26.197491931845555</c:v>
                </c:pt>
                <c:pt idx="80">
                  <c:v>26.869891207497066</c:v>
                </c:pt>
                <c:pt idx="81">
                  <c:v>27.55039430867502</c:v>
                </c:pt>
                <c:pt idx="82">
                  <c:v>28.238986674258054</c:v>
                </c:pt>
                <c:pt idx="83">
                  <c:v>28.93565368100899</c:v>
                </c:pt>
                <c:pt idx="84">
                  <c:v>29.640380643822454</c:v>
                </c:pt>
                <c:pt idx="85">
                  <c:v>30.35315281597531</c:v>
                </c:pt>
                <c:pt idx="86">
                  <c:v>31.073955389379837</c:v>
                </c:pt>
                <c:pt idx="87">
                  <c:v>31.802773494839574</c:v>
                </c:pt>
                <c:pt idx="88">
                  <c:v>32.539592202307801</c:v>
                </c:pt>
                <c:pt idx="89">
                  <c:v>33.284396521148587</c:v>
                </c:pt>
                <c:pt idx="90">
                  <c:v>34.037171400400354</c:v>
                </c:pt>
                <c:pt idx="91">
                  <c:v>34.797901729041897</c:v>
                </c:pt>
                <c:pt idx="92">
                  <c:v>35.566572336260847</c:v>
                </c:pt>
                <c:pt idx="93">
                  <c:v>36.343167991724457</c:v>
                </c:pt>
                <c:pt idx="94">
                  <c:v>37.12767340585274</c:v>
                </c:pt>
                <c:pt idx="95">
                  <c:v>37.92007323009387</c:v>
                </c:pt>
                <c:pt idx="96">
                  <c:v>38.720352057201815</c:v>
                </c:pt>
                <c:pt idx="97">
                  <c:v>39.528494421516164</c:v>
                </c:pt>
                <c:pt idx="98">
                  <c:v>40.344484799244064</c:v>
                </c:pt>
                <c:pt idx="99">
                  <c:v>41.168307608744314</c:v>
                </c:pt>
                <c:pt idx="100">
                  <c:v>41.999947210813467</c:v>
                </c:pt>
                <c:pt idx="101">
                  <c:v>42.839386621090078</c:v>
                </c:pt>
                <c:pt idx="102">
                  <c:v>43.686606221046318</c:v>
                </c:pt>
                <c:pt idx="103">
                  <c:v>44.541585044517475</c:v>
                </c:pt>
                <c:pt idx="104">
                  <c:v>45.404302065707192</c:v>
                </c:pt>
                <c:pt idx="105">
                  <c:v>46.274736199601875</c:v>
                </c:pt>
                <c:pt idx="106">
                  <c:v>47.152866302386762</c:v>
                </c:pt>
                <c:pt idx="107">
                  <c:v>48.038671171863662</c:v>
                </c:pt>
                <c:pt idx="108">
                  <c:v>48.932129547870304</c:v>
                </c:pt>
                <c:pt idx="109">
                  <c:v>49.833220112701213</c:v>
                </c:pt>
                <c:pt idx="110">
                  <c:v>50.741921491530142</c:v>
                </c:pt>
                <c:pt idx="111">
                  <c:v>51.658212252833941</c:v>
                </c:pt>
                <c:pt idx="112">
                  <c:v>52.582070908817876</c:v>
                </c:pt>
                <c:pt idx="113">
                  <c:v>53.513475915842321</c:v>
                </c:pt>
                <c:pt idx="114">
                  <c:v>54.452405674850795</c:v>
                </c:pt>
                <c:pt idx="115">
                  <c:v>55.398838531799292</c:v>
                </c:pt>
                <c:pt idx="116">
                  <c:v>56.352752778086909</c:v>
                </c:pt>
                <c:pt idx="117">
                  <c:v>57.314126650987625</c:v>
                </c:pt>
                <c:pt idx="118">
                  <c:v>58.282938334083319</c:v>
                </c:pt>
                <c:pt idx="119">
                  <c:v>59.259165957697896</c:v>
                </c:pt>
                <c:pt idx="120">
                  <c:v>60.24278759933253</c:v>
                </c:pt>
                <c:pt idx="121">
                  <c:v>61.233781284101966</c:v>
                </c:pt>
                <c:pt idx="122">
                  <c:v>62.232124985171808</c:v>
                </c:pt>
                <c:pt idx="123">
                  <c:v>63.237796624196861</c:v>
                </c:pt>
                <c:pt idx="124">
                  <c:v>64.250774071760361</c:v>
                </c:pt>
                <c:pt idx="125">
                  <c:v>65.271035147814132</c:v>
                </c:pt>
                <c:pt idx="126">
                  <c:v>66.298557622119631</c:v>
                </c:pt>
                <c:pt idx="127">
                  <c:v>67.333319214689794</c:v>
                </c:pt>
                <c:pt idx="128">
                  <c:v>68.375297596231746</c:v>
                </c:pt>
                <c:pt idx="129">
                  <c:v>69.42447038859018</c:v>
                </c:pt>
                <c:pt idx="130">
                  <c:v>70.48081516519153</c:v>
                </c:pt>
                <c:pt idx="131">
                  <c:v>71.544309451488857</c:v>
                </c:pt>
                <c:pt idx="132">
                  <c:v>72.614930725407319</c:v>
                </c:pt>
                <c:pt idx="133">
                  <c:v>73.692656417790317</c:v>
                </c:pt>
                <c:pt idx="134">
                  <c:v>74.777463912846187</c:v>
                </c:pt>
                <c:pt idx="135">
                  <c:v>75.869330548595499</c:v>
                </c:pt>
                <c:pt idx="136">
                  <c:v>76.968233617318845</c:v>
                </c:pt>
                <c:pt idx="137">
                  <c:v>78.074150366005099</c:v>
                </c:pt>
                <c:pt idx="138">
                  <c:v>79.187057996800164</c:v>
                </c:pt>
                <c:pt idx="139">
                  <c:v>80.306933667456079</c:v>
                </c:pt>
                <c:pt idx="140">
                  <c:v>81.433754491780604</c:v>
                </c:pt>
                <c:pt idx="141">
                  <c:v>82.567497540087061</c:v>
                </c:pt>
                <c:pt idx="142">
                  <c:v>83.708139839644559</c:v>
                </c:pt>
                <c:pt idx="143">
                  <c:v>84.855658375128485</c:v>
                </c:pt>
                <c:pt idx="144">
                  <c:v>86.010030089071236</c:v>
                </c:pt>
                <c:pt idx="145">
                  <c:v>87.171231882313208</c:v>
                </c:pt>
                <c:pt idx="146">
                  <c:v>88.339240614453956</c:v>
                </c:pt>
                <c:pt idx="147">
                  <c:v>89.514033104303522</c:v>
                </c:pt>
                <c:pt idx="148">
                  <c:v>90.695586130333879</c:v>
                </c:pt>
                <c:pt idx="149">
                  <c:v>91.883876431130489</c:v>
                </c:pt>
                <c:pt idx="150">
                  <c:v>93.078880705843929</c:v>
                </c:pt>
                <c:pt idx="151">
                  <c:v>94.280576053152885</c:v>
                </c:pt>
                <c:pt idx="152">
                  <c:v>95.488940410499865</c:v>
                </c:pt>
                <c:pt idx="153">
                  <c:v>96.703952116208185</c:v>
                </c:pt>
                <c:pt idx="154">
                  <c:v>97.925589471307063</c:v>
                </c:pt>
                <c:pt idx="155">
                  <c:v>99.153830739944809</c:v>
                </c:pt>
                <c:pt idx="156">
                  <c:v>100.38865414980206</c:v>
                </c:pt>
                <c:pt idx="157">
                  <c:v>101.63003789250509</c:v>
                </c:pt>
                <c:pt idx="158">
                  <c:v>102.87796012403895</c:v>
                </c:pt>
                <c:pt idx="159">
                  <c:v>104.13239896516082</c:v>
                </c:pt>
                <c:pt idx="160">
                  <c:v>105.39333250181311</c:v>
                </c:pt>
                <c:pt idx="161">
                  <c:v>106.66073878553654</c:v>
                </c:pt>
                <c:pt idx="162">
                  <c:v>107.93459583388315</c:v>
                </c:pt>
                <c:pt idx="163">
                  <c:v>109.21488163082908</c:v>
                </c:pt>
                <c:pt idx="164">
                  <c:v>110.50157412718731</c:v>
                </c:pt>
                <c:pt idx="165">
                  <c:v>111.79465124102009</c:v>
                </c:pt>
                <c:pt idx="166">
                  <c:v>113.09409085805129</c:v>
                </c:pt>
                <c:pt idx="167">
                  <c:v>114.39987083207838</c:v>
                </c:pt>
                <c:pt idx="168">
                  <c:v>115.71196898538427</c:v>
                </c:pt>
                <c:pt idx="169">
                  <c:v>117.03036310914881</c:v>
                </c:pt>
                <c:pt idx="170">
                  <c:v>118.35503096385993</c:v>
                </c:pt>
                <c:pt idx="171">
                  <c:v>119.68595027972458</c:v>
                </c:pt>
                <c:pt idx="172">
                  <c:v>121.02309875707918</c:v>
                </c:pt>
                <c:pt idx="173">
                  <c:v>122.36645406679979</c:v>
                </c:pt>
                <c:pt idx="174">
                  <c:v>123.71599385071181</c:v>
                </c:pt>
                <c:pt idx="175">
                  <c:v>125.07169572199929</c:v>
                </c:pt>
                <c:pt idx="176">
                  <c:v>126.43353726561378</c:v>
                </c:pt>
                <c:pt idx="177">
                  <c:v>127.80149603868269</c:v>
                </c:pt>
                <c:pt idx="178">
                  <c:v>129.17554957091718</c:v>
                </c:pt>
                <c:pt idx="179">
                  <c:v>130.55567536501954</c:v>
                </c:pt>
                <c:pt idx="180">
                  <c:v>131.94185089709001</c:v>
                </c:pt>
                <c:pt idx="181">
                  <c:v>133.33405361703299</c:v>
                </c:pt>
                <c:pt idx="182">
                  <c:v>134.73226094896279</c:v>
                </c:pt>
                <c:pt idx="183">
                  <c:v>136.13645029160861</c:v>
                </c:pt>
                <c:pt idx="184">
                  <c:v>137.54659901871912</c:v>
                </c:pt>
                <c:pt idx="185">
                  <c:v>138.96268447946608</c:v>
                </c:pt>
                <c:pt idx="186">
                  <c:v>140.38468399884755</c:v>
                </c:pt>
                <c:pt idx="187">
                  <c:v>141.81257487809032</c:v>
                </c:pt>
                <c:pt idx="188">
                  <c:v>143.24633439505158</c:v>
                </c:pt>
                <c:pt idx="189">
                  <c:v>144.68593980461992</c:v>
                </c:pt>
                <c:pt idx="190">
                  <c:v>146.13136833911557</c:v>
                </c:pt>
                <c:pt idx="191">
                  <c:v>147.5825972086898</c:v>
                </c:pt>
                <c:pt idx="192">
                  <c:v>149.03960360172363</c:v>
                </c:pt>
                <c:pt idx="193">
                  <c:v>150.50236468522559</c:v>
                </c:pt>
                <c:pt idx="194">
                  <c:v>151.97085760522876</c:v>
                </c:pt>
                <c:pt idx="195">
                  <c:v>153.44505948718688</c:v>
                </c:pt>
                <c:pt idx="196">
                  <c:v>154.92494743636971</c:v>
                </c:pt>
                <c:pt idx="197">
                  <c:v>156.41049853825726</c:v>
                </c:pt>
                <c:pt idx="198">
                  <c:v>157.90168985893337</c:v>
                </c:pt>
                <c:pt idx="199">
                  <c:v>159.39849844547814</c:v>
                </c:pt>
                <c:pt idx="200">
                  <c:v>160.90090132635962</c:v>
                </c:pt>
                <c:pt idx="201">
                  <c:v>162.40887551182428</c:v>
                </c:pt>
                <c:pt idx="202">
                  <c:v>163.92239799428671</c:v>
                </c:pt>
                <c:pt idx="203">
                  <c:v>165.44144574871822</c:v>
                </c:pt>
                <c:pt idx="204">
                  <c:v>166.96599573303442</c:v>
                </c:pt>
                <c:pt idx="205">
                  <c:v>168.49602488848168</c:v>
                </c:pt>
                <c:pt idx="206">
                  <c:v>170.03151014002279</c:v>
                </c:pt>
                <c:pt idx="207">
                  <c:v>171.57242839672116</c:v>
                </c:pt>
                <c:pt idx="208">
                  <c:v>173.1187565521243</c:v>
                </c:pt>
                <c:pt idx="209">
                  <c:v>174.67047148464587</c:v>
                </c:pt>
                <c:pt idx="210">
                  <c:v>176.2275500579469</c:v>
                </c:pt>
                <c:pt idx="211">
                  <c:v>177.78996912131555</c:v>
                </c:pt>
                <c:pt idx="212">
                  <c:v>179.35770551004597</c:v>
                </c:pt>
                <c:pt idx="213">
                  <c:v>180.93073604581591</c:v>
                </c:pt>
                <c:pt idx="214">
                  <c:v>182.50903753706299</c:v>
                </c:pt>
                <c:pt idx="215">
                  <c:v>184.09258677935998</c:v>
                </c:pt>
                <c:pt idx="216">
                  <c:v>185.68136055578867</c:v>
                </c:pt>
                <c:pt idx="217">
                  <c:v>187.27533563731268</c:v>
                </c:pt>
                <c:pt idx="218">
                  <c:v>188.87448878314879</c:v>
                </c:pt>
                <c:pt idx="219">
                  <c:v>190.47879674113722</c:v>
                </c:pt>
                <c:pt idx="220">
                  <c:v>192.08823624811043</c:v>
                </c:pt>
                <c:pt idx="221">
                  <c:v>193.70278403026083</c:v>
                </c:pt>
                <c:pt idx="222">
                  <c:v>195.32241680350691</c:v>
                </c:pt>
                <c:pt idx="223">
                  <c:v>196.9471112738583</c:v>
                </c:pt>
                <c:pt idx="224">
                  <c:v>198.57684413777926</c:v>
                </c:pt>
                <c:pt idx="225">
                  <c:v>200.21159208255105</c:v>
                </c:pt>
                <c:pt idx="226">
                  <c:v>201.85133178663267</c:v>
                </c:pt>
                <c:pt idx="227">
                  <c:v>203.49603992002042</c:v>
                </c:pt>
                <c:pt idx="228">
                  <c:v>205.1456931446059</c:v>
                </c:pt>
                <c:pt idx="229">
                  <c:v>206.80026811453277</c:v>
                </c:pt>
                <c:pt idx="230">
                  <c:v>208.4597414765519</c:v>
                </c:pt>
                <c:pt idx="231">
                  <c:v>210.12408987037523</c:v>
                </c:pt>
                <c:pt idx="232">
                  <c:v>211.79328992902808</c:v>
                </c:pt>
                <c:pt idx="233">
                  <c:v>213.46731827920007</c:v>
                </c:pt>
                <c:pt idx="234">
                  <c:v>215.14615154159446</c:v>
                </c:pt>
                <c:pt idx="235">
                  <c:v>216.82976633127618</c:v>
                </c:pt>
                <c:pt idx="236">
                  <c:v>218.51813925801812</c:v>
                </c:pt>
                <c:pt idx="237">
                  <c:v>220.21124692664611</c:v>
                </c:pt>
                <c:pt idx="238">
                  <c:v>221.90906593738234</c:v>
                </c:pt>
                <c:pt idx="239">
                  <c:v>223.61157288618708</c:v>
                </c:pt>
                <c:pt idx="240">
                  <c:v>225.31874436509912</c:v>
                </c:pt>
                <c:pt idx="241">
                  <c:v>227.03055696257442</c:v>
                </c:pt>
                <c:pt idx="242">
                  <c:v>228.74698726382334</c:v>
                </c:pt>
                <c:pt idx="243">
                  <c:v>230.46801185114617</c:v>
                </c:pt>
                <c:pt idx="244">
                  <c:v>232.19360730426726</c:v>
                </c:pt>
                <c:pt idx="245">
                  <c:v>233.92375020066734</c:v>
                </c:pt>
                <c:pt idx="246">
                  <c:v>235.65841711591429</c:v>
                </c:pt>
                <c:pt idx="247">
                  <c:v>237.39758462399246</c:v>
                </c:pt>
                <c:pt idx="248">
                  <c:v>239.14122929763008</c:v>
                </c:pt>
                <c:pt idx="249">
                  <c:v>240.88932770862525</c:v>
                </c:pt>
                <c:pt idx="250">
                  <c:v>242.64185642817023</c:v>
                </c:pt>
                <c:pt idx="251">
                  <c:v>244.39879013416561</c:v>
                </c:pt>
                <c:pt idx="252">
                  <c:v>246.1600997189361</c:v>
                </c:pt>
                <c:pt idx="253">
                  <c:v>247.92575418464855</c:v>
                </c:pt>
                <c:pt idx="254">
                  <c:v>249.69572253839024</c:v>
                </c:pt>
                <c:pt idx="255">
                  <c:v>251.4699737926141</c:v>
                </c:pt>
                <c:pt idx="256">
                  <c:v>253.24847696558112</c:v>
                </c:pt>
                <c:pt idx="257">
                  <c:v>255.03120108179979</c:v>
                </c:pt>
                <c:pt idx="258">
                  <c:v>256.81811517246263</c:v>
                </c:pt>
                <c:pt idx="259">
                  <c:v>258.60918827587949</c:v>
                </c:pt>
                <c:pt idx="260">
                  <c:v>260.40438943790843</c:v>
                </c:pt>
                <c:pt idx="261">
                  <c:v>262.20368771238293</c:v>
                </c:pt>
                <c:pt idx="262">
                  <c:v>264.00705216153665</c:v>
                </c:pt>
                <c:pt idx="263">
                  <c:v>265.81445185642491</c:v>
                </c:pt>
                <c:pt idx="264">
                  <c:v>267.62585587734321</c:v>
                </c:pt>
                <c:pt idx="265">
                  <c:v>269.44123331424288</c:v>
                </c:pt>
                <c:pt idx="266">
                  <c:v>271.26055326714345</c:v>
                </c:pt>
                <c:pt idx="267">
                  <c:v>273.08378484654213</c:v>
                </c:pt>
                <c:pt idx="268">
                  <c:v>274.91089717382022</c:v>
                </c:pt>
                <c:pt idx="269">
                  <c:v>276.74185938164652</c:v>
                </c:pt>
                <c:pt idx="270">
                  <c:v>278.57664061437765</c:v>
                </c:pt>
                <c:pt idx="271">
                  <c:v>280.41521002845525</c:v>
                </c:pt>
                <c:pt idx="272">
                  <c:v>282.25753679280018</c:v>
                </c:pt>
                <c:pt idx="273">
                  <c:v>284.10359008920358</c:v>
                </c:pt>
                <c:pt idx="274">
                  <c:v>285.95333911271501</c:v>
                </c:pt>
                <c:pt idx="275">
                  <c:v>287.80675307202728</c:v>
                </c:pt>
                <c:pt idx="276">
                  <c:v>289.66380118985836</c:v>
                </c:pt>
                <c:pt idx="277">
                  <c:v>291.52445270333016</c:v>
                </c:pt>
                <c:pt idx="278">
                  <c:v>293.38867686434401</c:v>
                </c:pt>
                <c:pt idx="279">
                  <c:v>295.2564429399535</c:v>
                </c:pt>
                <c:pt idx="280">
                  <c:v>297.12772021273372</c:v>
                </c:pt>
                <c:pt idx="281">
                  <c:v>299.00247798114771</c:v>
                </c:pt>
                <c:pt idx="282">
                  <c:v>300.88068555990958</c:v>
                </c:pt>
                <c:pt idx="283">
                  <c:v>302.7623122803447</c:v>
                </c:pt>
                <c:pt idx="284">
                  <c:v>304.6473274907467</c:v>
                </c:pt>
                <c:pt idx="285">
                  <c:v>306.53570055673129</c:v>
                </c:pt>
                <c:pt idx="286">
                  <c:v>308.4274008615871</c:v>
                </c:pt>
                <c:pt idx="287">
                  <c:v>310.32239780662326</c:v>
                </c:pt>
                <c:pt idx="288">
                  <c:v>312.22066081151388</c:v>
                </c:pt>
                <c:pt idx="289">
                  <c:v>314.12215931463948</c:v>
                </c:pt>
                <c:pt idx="290">
                  <c:v>316.02686277342514</c:v>
                </c:pt>
                <c:pt idx="291">
                  <c:v>317.93474066467581</c:v>
                </c:pt>
                <c:pt idx="292">
                  <c:v>319.84576248490816</c:v>
                </c:pt>
                <c:pt idx="293">
                  <c:v>321.7598977506795</c:v>
                </c:pt>
                <c:pt idx="294">
                  <c:v>323.67711599891351</c:v>
                </c:pt>
                <c:pt idx="295">
                  <c:v>325.59738678722289</c:v>
                </c:pt>
                <c:pt idx="296">
                  <c:v>327.52067969422876</c:v>
                </c:pt>
                <c:pt idx="297">
                  <c:v>329.44696431987722</c:v>
                </c:pt>
                <c:pt idx="298">
                  <c:v>331.3761895080861</c:v>
                </c:pt>
                <c:pt idx="299">
                  <c:v>333.30826258258429</c:v>
                </c:pt>
                <c:pt idx="300">
                  <c:v>335.24307016300037</c:v>
                </c:pt>
                <c:pt idx="301">
                  <c:v>337.1804989688448</c:v>
                </c:pt>
                <c:pt idx="302">
                  <c:v>339.12043582197754</c:v>
                </c:pt>
                <c:pt idx="303">
                  <c:v>341.0627676490372</c:v>
                </c:pt>
                <c:pt idx="304">
                  <c:v>343.0073814838313</c:v>
                </c:pt>
                <c:pt idx="305">
                  <c:v>344.95416446968767</c:v>
                </c:pt>
                <c:pt idx="306">
                  <c:v>346.90300386176767</c:v>
                </c:pt>
                <c:pt idx="307">
                  <c:v>348.85378702934025</c:v>
                </c:pt>
                <c:pt idx="308">
                  <c:v>350.80640145801783</c:v>
                </c:pt>
                <c:pt idx="309">
                  <c:v>352.76073475195312</c:v>
                </c:pt>
                <c:pt idx="310">
                  <c:v>354.71667463599795</c:v>
                </c:pt>
                <c:pt idx="311">
                  <c:v>356.67410895782319</c:v>
                </c:pt>
                <c:pt idx="312">
                  <c:v>358.63292569000038</c:v>
                </c:pt>
                <c:pt idx="313">
                  <c:v>360.59301293204504</c:v>
                </c:pt>
                <c:pt idx="314">
                  <c:v>362.55425891242163</c:v>
                </c:pt>
                <c:pt idx="315">
                  <c:v>364.51655199051027</c:v>
                </c:pt>
                <c:pt idx="316">
                  <c:v>366.47978065853539</c:v>
                </c:pt>
                <c:pt idx="317">
                  <c:v>368.44383354345621</c:v>
                </c:pt>
                <c:pt idx="318">
                  <c:v>370.40859940881944</c:v>
                </c:pt>
                <c:pt idx="319">
                  <c:v>372.37396715657383</c:v>
                </c:pt>
                <c:pt idx="320">
                  <c:v>374.33982582884727</c:v>
                </c:pt>
                <c:pt idx="321">
                  <c:v>376.30607287185467</c:v>
                </c:pt>
                <c:pt idx="322">
                  <c:v>378.27262238995047</c:v>
                </c:pt>
                <c:pt idx="323">
                  <c:v>380.23939686296978</c:v>
                </c:pt>
                <c:pt idx="324">
                  <c:v>382.20631887292132</c:v>
                </c:pt>
                <c:pt idx="325">
                  <c:v>384.17331110472998</c:v>
                </c:pt>
                <c:pt idx="326">
                  <c:v>386.14029634696135</c:v>
                </c:pt>
                <c:pt idx="327">
                  <c:v>388.10719749252803</c:v>
                </c:pt>
                <c:pt idx="328">
                  <c:v>390.07393753937794</c:v>
                </c:pt>
                <c:pt idx="329">
                  <c:v>392.04043959116484</c:v>
                </c:pt>
                <c:pt idx="330">
                  <c:v>394.00662685790115</c:v>
                </c:pt>
                <c:pt idx="331">
                  <c:v>395.9724226565927</c:v>
                </c:pt>
                <c:pt idx="332">
                  <c:v>397.93775041185631</c:v>
                </c:pt>
                <c:pt idx="333">
                  <c:v>399.90253365651938</c:v>
                </c:pt>
                <c:pt idx="334">
                  <c:v>401.86669603220236</c:v>
                </c:pt>
                <c:pt idx="335">
                  <c:v>403.83016128988368</c:v>
                </c:pt>
                <c:pt idx="336">
                  <c:v>405.79285329044751</c:v>
                </c:pt>
                <c:pt idx="337">
                  <c:v>407.75469600521433</c:v>
                </c:pt>
                <c:pt idx="338">
                  <c:v>409.71561351645437</c:v>
                </c:pt>
                <c:pt idx="339">
                  <c:v>411.67553001788417</c:v>
                </c:pt>
                <c:pt idx="340">
                  <c:v>413.63436981514604</c:v>
                </c:pt>
                <c:pt idx="341">
                  <c:v>415.59205732627117</c:v>
                </c:pt>
                <c:pt idx="342">
                  <c:v>417.54851708212544</c:v>
                </c:pt>
                <c:pt idx="343">
                  <c:v>419.50367372683928</c:v>
                </c:pt>
                <c:pt idx="344">
                  <c:v>421.45745201822058</c:v>
                </c:pt>
                <c:pt idx="345">
                  <c:v>423.40977682815139</c:v>
                </c:pt>
                <c:pt idx="346">
                  <c:v>425.36057314296841</c:v>
                </c:pt>
                <c:pt idx="347">
                  <c:v>427.30976606382723</c:v>
                </c:pt>
                <c:pt idx="348">
                  <c:v>429.25728169790193</c:v>
                </c:pt>
                <c:pt idx="349">
                  <c:v>431.20304804816152</c:v>
                </c:pt>
                <c:pt idx="350">
                  <c:v>433.1469941199469</c:v>
                </c:pt>
                <c:pt idx="351">
                  <c:v>435.08904902891459</c:v>
                </c:pt>
                <c:pt idx="352">
                  <c:v>437.02914200127179</c:v>
                </c:pt>
                <c:pt idx="353">
                  <c:v>438.96720237399734</c:v>
                </c:pt>
                <c:pt idx="354">
                  <c:v>440.90315959504875</c:v>
                </c:pt>
                <c:pt idx="355">
                  <c:v>442.83694322355575</c:v>
                </c:pt>
                <c:pt idx="356">
                  <c:v>444.76848292999966</c:v>
                </c:pt>
                <c:pt idx="357">
                  <c:v>446.69770849637956</c:v>
                </c:pt>
                <c:pt idx="358">
                  <c:v>448.62454981636472</c:v>
                </c:pt>
                <c:pt idx="359">
                  <c:v>450.54893689543383</c:v>
                </c:pt>
                <c:pt idx="360">
                  <c:v>452.47081837643316</c:v>
                </c:pt>
                <c:pt idx="361">
                  <c:v>454.39018003335008</c:v>
                </c:pt>
                <c:pt idx="362">
                  <c:v>456.30702618280026</c:v>
                </c:pt>
                <c:pt idx="363">
                  <c:v>458.22136112726434</c:v>
                </c:pt>
                <c:pt idx="364">
                  <c:v>460.13318915514901</c:v>
                </c:pt>
                <c:pt idx="365">
                  <c:v>462.04251454084726</c:v>
                </c:pt>
                <c:pt idx="366">
                  <c:v>463.94934154479887</c:v>
                </c:pt>
                <c:pt idx="367">
                  <c:v>465.8536744135501</c:v>
                </c:pt>
                <c:pt idx="368">
                  <c:v>467.7555173798134</c:v>
                </c:pt>
                <c:pt idx="369">
                  <c:v>469.65487466252665</c:v>
                </c:pt>
                <c:pt idx="370">
                  <c:v>471.55175046691193</c:v>
                </c:pt>
                <c:pt idx="371">
                  <c:v>473.44614898453426</c:v>
                </c:pt>
                <c:pt idx="372">
                  <c:v>475.33807439335988</c:v>
                </c:pt>
                <c:pt idx="373">
                  <c:v>477.2275308578142</c:v>
                </c:pt>
                <c:pt idx="374">
                  <c:v>479.11452252883942</c:v>
                </c:pt>
                <c:pt idx="375">
                  <c:v>480.99905354395185</c:v>
                </c:pt>
                <c:pt idx="376">
                  <c:v>482.88112802729916</c:v>
                </c:pt>
                <c:pt idx="377">
                  <c:v>484.76075008971679</c:v>
                </c:pt>
                <c:pt idx="378">
                  <c:v>486.63792382878466</c:v>
                </c:pt>
                <c:pt idx="379">
                  <c:v>488.51265332888318</c:v>
                </c:pt>
                <c:pt idx="380">
                  <c:v>490.38494266124894</c:v>
                </c:pt>
                <c:pt idx="381">
                  <c:v>492.2547958840305</c:v>
                </c:pt>
                <c:pt idx="382">
                  <c:v>494.12221704234344</c:v>
                </c:pt>
                <c:pt idx="383">
                  <c:v>495.98721016832525</c:v>
                </c:pt>
                <c:pt idx="384">
                  <c:v>497.84977928119014</c:v>
                </c:pt>
                <c:pt idx="385">
                  <c:v>499.70992838728318</c:v>
                </c:pt>
                <c:pt idx="386">
                  <c:v>501.56766148013463</c:v>
                </c:pt>
                <c:pt idx="387">
                  <c:v>503.42298254051337</c:v>
                </c:pt>
                <c:pt idx="388">
                  <c:v>505.27589553648062</c:v>
                </c:pt>
                <c:pt idx="389">
                  <c:v>507.12640442344309</c:v>
                </c:pt>
                <c:pt idx="390">
                  <c:v>508.9745131442059</c:v>
                </c:pt>
                <c:pt idx="391">
                  <c:v>510.82022562902512</c:v>
                </c:pt>
                <c:pt idx="392">
                  <c:v>512.66354579566018</c:v>
                </c:pt>
                <c:pt idx="393">
                  <c:v>514.50447754942616</c:v>
                </c:pt>
                <c:pt idx="394">
                  <c:v>516.34302478324514</c:v>
                </c:pt>
                <c:pt idx="395">
                  <c:v>518.1791913776982</c:v>
                </c:pt>
                <c:pt idx="396">
                  <c:v>520.01298120107629</c:v>
                </c:pt>
                <c:pt idx="397">
                  <c:v>521.84439810943161</c:v>
                </c:pt>
                <c:pt idx="398">
                  <c:v>523.67344594662791</c:v>
                </c:pt>
                <c:pt idx="399">
                  <c:v>525.50012854439126</c:v>
                </c:pt>
                <c:pt idx="400">
                  <c:v>527.32444972236021</c:v>
                </c:pt>
                <c:pt idx="401">
                  <c:v>545.43807836727581</c:v>
                </c:pt>
                <c:pt idx="402">
                  <c:v>563.31801671721007</c:v>
                </c:pt>
                <c:pt idx="403">
                  <c:v>580.96796810169803</c:v>
                </c:pt>
                <c:pt idx="404">
                  <c:v>598.39152148103028</c:v>
                </c:pt>
                <c:pt idx="405">
                  <c:v>615.59215602771917</c:v>
                </c:pt>
                <c:pt idx="406">
                  <c:v>632.57324547682322</c:v>
                </c:pt>
                <c:pt idx="407">
                  <c:v>649.33806225903595</c:v>
                </c:pt>
                <c:pt idx="408">
                  <c:v>665.88978142947497</c:v>
                </c:pt>
                <c:pt idx="409">
                  <c:v>682.2314844042121</c:v>
                </c:pt>
                <c:pt idx="410">
                  <c:v>698.36616251576254</c:v>
                </c:pt>
                <c:pt idx="411">
                  <c:v>714.29672039798982</c:v>
                </c:pt>
                <c:pt idx="412">
                  <c:v>730.02597921018184</c:v>
                </c:pt>
                <c:pt idx="413">
                  <c:v>745.55667970940715</c:v>
                </c:pt>
                <c:pt idx="414">
                  <c:v>760.89148517965725</c:v>
                </c:pt>
                <c:pt idx="415">
                  <c:v>776.0329842257313</c:v>
                </c:pt>
                <c:pt idx="416">
                  <c:v>790.98369343930221</c:v>
                </c:pt>
                <c:pt idx="417">
                  <c:v>805.74605994412923</c:v>
                </c:pt>
                <c:pt idx="418">
                  <c:v>820.32246382694041</c:v>
                </c:pt>
                <c:pt idx="419">
                  <c:v>834.71522046009909</c:v>
                </c:pt>
                <c:pt idx="420">
                  <c:v>848.92658272178778</c:v>
                </c:pt>
                <c:pt idx="421">
                  <c:v>862.95874311909051</c:v>
                </c:pt>
                <c:pt idx="422">
                  <c:v>876.81383581902401</c:v>
                </c:pt>
                <c:pt idx="423">
                  <c:v>890.49393859226484</c:v>
                </c:pt>
                <c:pt idx="424">
                  <c:v>904.00107467403234</c:v>
                </c:pt>
                <c:pt idx="425">
                  <c:v>917.33721454632359</c:v>
                </c:pt>
                <c:pt idx="426">
                  <c:v>930.50427764544861</c:v>
                </c:pt>
                <c:pt idx="427">
                  <c:v>943.50413399858189</c:v>
                </c:pt>
                <c:pt idx="428">
                  <c:v>956.33860579283362</c:v>
                </c:pt>
                <c:pt idx="429">
                  <c:v>969.00946888013937</c:v>
                </c:pt>
                <c:pt idx="430">
                  <c:v>981.51845422108147</c:v>
                </c:pt>
                <c:pt idx="431">
                  <c:v>993.86724927057753</c:v>
                </c:pt>
                <c:pt idx="432">
                  <c:v>1006.0574993082076</c:v>
                </c:pt>
                <c:pt idx="433">
                  <c:v>1018.0908087157979</c:v>
                </c:pt>
                <c:pt idx="434">
                  <c:v>1029.9687422047332</c:v>
                </c:pt>
                <c:pt idx="435">
                  <c:v>1041.6928259953349</c:v>
                </c:pt>
                <c:pt idx="436">
                  <c:v>1053.2645489505169</c:v>
                </c:pt>
                <c:pt idx="437">
                  <c:v>1064.6853636658079</c:v>
                </c:pt>
                <c:pt idx="438">
                  <c:v>1075.9566875177225</c:v>
                </c:pt>
                <c:pt idx="439">
                  <c:v>1087.0799036723531</c:v>
                </c:pt>
                <c:pt idx="440">
                  <c:v>1098.0563620559594</c:v>
                </c:pt>
                <c:pt idx="441">
                  <c:v>1108.8873802892376</c:v>
                </c:pt>
                <c:pt idx="442">
                  <c:v>1119.5742445868666</c:v>
                </c:pt>
                <c:pt idx="443">
                  <c:v>1130.1182106238407</c:v>
                </c:pt>
                <c:pt idx="444">
                  <c:v>1140.5205043700298</c:v>
                </c:pt>
                <c:pt idx="445">
                  <c:v>1150.7823228943264</c:v>
                </c:pt>
                <c:pt idx="446">
                  <c:v>1160.9048351396739</c:v>
                </c:pt>
                <c:pt idx="447">
                  <c:v>1170.8891826702093</c:v>
                </c:pt>
                <c:pt idx="448">
                  <c:v>1180.7364803916842</c:v>
                </c:pt>
                <c:pt idx="449">
                  <c:v>1190.4478172462782</c:v>
                </c:pt>
                <c:pt idx="450">
                  <c:v>1200.0242568828603</c:v>
                </c:pt>
                <c:pt idx="451">
                  <c:v>1209.4668383037028</c:v>
                </c:pt>
                <c:pt idx="452">
                  <c:v>1218.7765764886051</c:v>
                </c:pt>
                <c:pt idx="453">
                  <c:v>1227.9544629973373</c:v>
                </c:pt>
                <c:pt idx="454">
                  <c:v>1237.0014665512708</c:v>
                </c:pt>
                <c:pt idx="455">
                  <c:v>1245.9185335950233</c:v>
                </c:pt>
                <c:pt idx="456">
                  <c:v>1254.7065888389029</c:v>
                </c:pt>
                <c:pt idx="457">
                  <c:v>1263.366535782905</c:v>
                </c:pt>
                <c:pt idx="458">
                  <c:v>1271.8992572229745</c:v>
                </c:pt>
                <c:pt idx="459">
                  <c:v>1280.3056157402184</c:v>
                </c:pt>
                <c:pt idx="460">
                  <c:v>1288.586454173718</c:v>
                </c:pt>
                <c:pt idx="461">
                  <c:v>1296.7425960775645</c:v>
                </c:pt>
                <c:pt idx="462">
                  <c:v>1304.7748461627093</c:v>
                </c:pt>
                <c:pt idx="463">
                  <c:v>1312.6839907241972</c:v>
                </c:pt>
                <c:pt idx="464">
                  <c:v>1320.470798054324</c:v>
                </c:pt>
                <c:pt idx="465">
                  <c:v>1328.1360188422348</c:v>
                </c:pt>
                <c:pt idx="466">
                  <c:v>1335.6803865604588</c:v>
                </c:pt>
                <c:pt idx="467">
                  <c:v>1343.1046178388526</c:v>
                </c:pt>
                <c:pt idx="468">
                  <c:v>1350.4094128264042</c:v>
                </c:pt>
                <c:pt idx="469">
                  <c:v>1357.5954555413316</c:v>
                </c:pt>
                <c:pt idx="470">
                  <c:v>1364.6634142098881</c:v>
                </c:pt>
                <c:pt idx="471">
                  <c:v>1371.6139415942719</c:v>
                </c:pt>
                <c:pt idx="472">
                  <c:v>1378.4476753100193</c:v>
                </c:pt>
                <c:pt idx="473">
                  <c:v>1385.1652381332449</c:v>
                </c:pt>
                <c:pt idx="474">
                  <c:v>1391.7672382980757</c:v>
                </c:pt>
                <c:pt idx="475">
                  <c:v>1398.2542697846154</c:v>
                </c:pt>
                <c:pt idx="476">
                  <c:v>1404.6269125977569</c:v>
                </c:pt>
                <c:pt idx="477">
                  <c:v>1410.8857330371502</c:v>
                </c:pt>
                <c:pt idx="478">
                  <c:v>1417.0312839586193</c:v>
                </c:pt>
                <c:pt idx="479">
                  <c:v>1423.0641050273132</c:v>
                </c:pt>
                <c:pt idx="480">
                  <c:v>1428.9847229628592</c:v>
                </c:pt>
                <c:pt idx="481">
                  <c:v>1434.7936517767803</c:v>
                </c:pt>
                <c:pt idx="482">
                  <c:v>1440.4913930024272</c:v>
                </c:pt>
                <c:pt idx="483">
                  <c:v>1446.0784359176666</c:v>
                </c:pt>
                <c:pt idx="484">
                  <c:v>1451.5552577605542</c:v>
                </c:pt>
                <c:pt idx="485">
                  <c:v>1456.9223239382197</c:v>
                </c:pt>
                <c:pt idx="486">
                  <c:v>1462.1800882291759</c:v>
                </c:pt>
                <c:pt idx="487">
                  <c:v>1467.3289929792591</c:v>
                </c:pt>
                <c:pt idx="488">
                  <c:v>1472.3694692914037</c:v>
                </c:pt>
                <c:pt idx="489">
                  <c:v>1477.3019372094404</c:v>
                </c:pt>
                <c:pt idx="490">
                  <c:v>1482.12680589611</c:v>
                </c:pt>
                <c:pt idx="491">
                  <c:v>1486.8444738054689</c:v>
                </c:pt>
                <c:pt idx="492">
                  <c:v>1491.4553288498685</c:v>
                </c:pt>
                <c:pt idx="493">
                  <c:v>1495.9597485616762</c:v>
                </c:pt>
                <c:pt idx="494">
                  <c:v>1500.3581002499068</c:v>
                </c:pt>
                <c:pt idx="495">
                  <c:v>1504.6507411519306</c:v>
                </c:pt>
                <c:pt idx="496">
                  <c:v>1508.8380185804156</c:v>
                </c:pt>
                <c:pt idx="497">
                  <c:v>1512.9202700656681</c:v>
                </c:pt>
                <c:pt idx="498">
                  <c:v>1516.8978234935262</c:v>
                </c:pt>
                <c:pt idx="499">
                  <c:v>1520.7709972389648</c:v>
                </c:pt>
                <c:pt idx="500">
                  <c:v>1524.5401002955725</c:v>
                </c:pt>
                <c:pt idx="501">
                  <c:v>1528.2054324010578</c:v>
                </c:pt>
                <c:pt idx="502">
                  <c:v>1531.7672841589506</c:v>
                </c:pt>
                <c:pt idx="503">
                  <c:v>1535.2259371566652</c:v>
                </c:pt>
                <c:pt idx="504">
                  <c:v>1538.5816640801013</c:v>
                </c:pt>
                <c:pt idx="505">
                  <c:v>1541.8347288249654</c:v>
                </c:pt>
                <c:pt idx="506">
                  <c:v>1544.9853866050082</c:v>
                </c:pt>
                <c:pt idx="507">
                  <c:v>1548.0338840573879</c:v>
                </c:pt>
                <c:pt idx="508">
                  <c:v>1550.980459345386</c:v>
                </c:pt>
                <c:pt idx="509">
                  <c:v>1553.8253422587272</c:v>
                </c:pt>
                <c:pt idx="510">
                  <c:v>1556.5687543117826</c:v>
                </c:pt>
                <c:pt idx="511">
                  <c:v>1559.2109088399668</c:v>
                </c:pt>
                <c:pt idx="512">
                  <c:v>1561.7520110946868</c:v>
                </c:pt>
                <c:pt idx="513">
                  <c:v>1564.1922583372518</c:v>
                </c:pt>
                <c:pt idx="514">
                  <c:v>1566.5318399322139</c:v>
                </c:pt>
                <c:pt idx="515">
                  <c:v>1568.7709374406902</c:v>
                </c:pt>
                <c:pt idx="516">
                  <c:v>1570.9097247143147</c:v>
                </c:pt>
                <c:pt idx="517">
                  <c:v>1572.9483679905788</c:v>
                </c:pt>
                <c:pt idx="518">
                  <c:v>1574.8870259904668</c:v>
                </c:pt>
                <c:pt idx="519">
                  <c:v>1576.7258500194598</c:v>
                </c:pt>
                <c:pt idx="520">
                  <c:v>1578.4649840731915</c:v>
                </c:pt>
                <c:pt idx="521">
                  <c:v>1580.1045649492842</c:v>
                </c:pt>
                <c:pt idx="522">
                  <c:v>1581.6447223671933</c:v>
                </c:pt>
                <c:pt idx="523">
                  <c:v>1583.0855790982318</c:v>
                </c:pt>
                <c:pt idx="524">
                  <c:v>1584.4272511083532</c:v>
                </c:pt>
                <c:pt idx="525">
                  <c:v>1585.6698477167274</c:v>
                </c:pt>
                <c:pt idx="526">
                  <c:v>1586.8134717736511</c:v>
                </c:pt>
                <c:pt idx="527">
                  <c:v>1587.8582198618694</c:v>
                </c:pt>
                <c:pt idx="528">
                  <c:v>1588.8041825259133</c:v>
                </c:pt>
                <c:pt idx="529">
                  <c:v>1589.6514445345299</c:v>
                </c:pt>
                <c:pt idx="530">
                  <c:v>1590.400085181604</c:v>
                </c:pt>
                <c:pt idx="531">
                  <c:v>1591.0501786310406</c:v>
                </c:pt>
                <c:pt idx="532">
                  <c:v>1591.6017943107449</c:v>
                </c:pt>
                <c:pt idx="533">
                  <c:v>1592.0549973599602</c:v>
                </c:pt>
                <c:pt idx="534">
                  <c:v>1592.4098491326515</c:v>
                </c:pt>
                <c:pt idx="535">
                  <c:v>1592.6664077572952</c:v>
                </c:pt>
                <c:pt idx="536">
                  <c:v>1592.8247287503809</c:v>
                </c:pt>
                <c:pt idx="537">
                  <c:v>1592.8848656773607</c:v>
                </c:pt>
                <c:pt idx="538">
                  <c:v>1592.8468708510761</c:v>
                </c:pt>
                <c:pt idx="539">
                  <c:v>1592.710796054366</c:v>
                </c:pt>
                <c:pt idx="540">
                  <c:v>1592.4766932711818</c:v>
                </c:pt>
                <c:pt idx="541">
                  <c:v>1592.1446154095174</c:v>
                </c:pt>
                <c:pt idx="542">
                  <c:v>1591.7146170000328</c:v>
                </c:pt>
                <c:pt idx="543">
                  <c:v>1591.1867548562786</c:v>
                </c:pt>
                <c:pt idx="544">
                  <c:v>1590.5610886855379</c:v>
                </c:pt>
                <c:pt idx="545">
                  <c:v>1589.8376816429675</c:v>
                </c:pt>
                <c:pt idx="546">
                  <c:v>1589.0166008253866</c:v>
                </c:pt>
                <c:pt idx="547">
                  <c:v>1588.0979177042952</c:v>
                </c:pt>
                <c:pt idx="548">
                  <c:v>1587.0817085002618</c:v>
                </c:pt>
                <c:pt idx="549">
                  <c:v>1585.9680545026024</c:v>
                </c:pt>
                <c:pt idx="550">
                  <c:v>1584.7570423393342</c:v>
                </c:pt>
                <c:pt idx="551">
                  <c:v>1583.4487642028532</c:v>
                </c:pt>
                <c:pt idx="552">
                  <c:v>1582.0433180368077</c:v>
                </c:pt>
                <c:pt idx="553">
                  <c:v>1580.5408076893648</c:v>
                </c:pt>
                <c:pt idx="554">
                  <c:v>1578.9413430376242</c:v>
                </c:pt>
                <c:pt idx="555">
                  <c:v>1577.2450400873997</c:v>
                </c:pt>
                <c:pt idx="556">
                  <c:v>1575.4520210520507</c:v>
                </c:pt>
                <c:pt idx="557">
                  <c:v>1573.5624144135168</c:v>
                </c:pt>
                <c:pt idx="558">
                  <c:v>1571.5763549682363</c:v>
                </c:pt>
                <c:pt idx="559">
                  <c:v>1569.4939838602018</c:v>
                </c:pt>
                <c:pt idx="560">
                  <c:v>1567.3154486030382</c:v>
                </c:pt>
                <c:pt idx="561">
                  <c:v>1565.0409030926824</c:v>
                </c:pt>
                <c:pt idx="562">
                  <c:v>1562.6705076119686</c:v>
                </c:pt>
                <c:pt idx="563">
                  <c:v>1560.2044288282166</c:v>
                </c:pt>
                <c:pt idx="564">
                  <c:v>1557.6428397847255</c:v>
                </c:pt>
                <c:pt idx="565">
                  <c:v>1554.985919886931</c:v>
                </c:pt>
                <c:pt idx="566">
                  <c:v>1552.2338548838559</c:v>
                </c:pt>
                <c:pt idx="567">
                  <c:v>1549.3868368453836</c:v>
                </c:pt>
                <c:pt idx="568">
                  <c:v>1546.4450641357967</c:v>
                </c:pt>
                <c:pt idx="569">
                  <c:v>1543.4087413839522</c:v>
                </c:pt>
                <c:pt idx="570">
                  <c:v>1540.2780794504142</c:v>
                </c:pt>
                <c:pt idx="571">
                  <c:v>1537.0532953918052</c:v>
                </c:pt>
                <c:pt idx="572">
                  <c:v>1533.7346124226115</c:v>
                </c:pt>
                <c:pt idx="573">
                  <c:v>1530.3222598746349</c:v>
                </c:pt>
                <c:pt idx="574">
                  <c:v>1526.8164731542631</c:v>
                </c:pt>
                <c:pt idx="575">
                  <c:v>1523.2174936977035</c:v>
                </c:pt>
                <c:pt idx="576">
                  <c:v>1519.5255689243108</c:v>
                </c:pt>
                <c:pt idx="577">
                  <c:v>1515.740952188122</c:v>
                </c:pt>
                <c:pt idx="578">
                  <c:v>1511.8639027276972</c:v>
                </c:pt>
                <c:pt idx="579">
                  <c:v>1507.8946856143568</c:v>
                </c:pt>
                <c:pt idx="580">
                  <c:v>1503.8335716988954</c:v>
                </c:pt>
                <c:pt idx="581">
                  <c:v>1499.6808375568451</c:v>
                </c:pt>
                <c:pt idx="582">
                  <c:v>1495.4367654323542</c:v>
                </c:pt>
                <c:pt idx="583">
                  <c:v>1491.1016431807418</c:v>
                </c:pt>
                <c:pt idx="584">
                  <c:v>1486.6757642097862</c:v>
                </c:pt>
                <c:pt idx="585">
                  <c:v>1482.1594274197973</c:v>
                </c:pt>
                <c:pt idx="586">
                  <c:v>1477.5529371425243</c:v>
                </c:pt>
                <c:pt idx="587">
                  <c:v>1472.8566030789432</c:v>
                </c:pt>
                <c:pt idx="588">
                  <c:v>1468.0707402359697</c:v>
                </c:pt>
                <c:pt idx="589">
                  <c:v>1463.1956688621385</c:v>
                </c:pt>
                <c:pt idx="590">
                  <c:v>1458.2317143822895</c:v>
                </c:pt>
                <c:pt idx="591">
                  <c:v>1453.1792073312995</c:v>
                </c:pt>
                <c:pt idx="592">
                  <c:v>1448.0384832868974</c:v>
                </c:pt>
                <c:pt idx="593">
                  <c:v>1442.8098828015993</c:v>
                </c:pt>
                <c:pt idx="594">
                  <c:v>1437.4937513337979</c:v>
                </c:pt>
                <c:pt idx="595">
                  <c:v>1432.0904391780427</c:v>
                </c:pt>
                <c:pt idx="596">
                  <c:v>1426.6003013945433</c:v>
                </c:pt>
                <c:pt idx="597">
                  <c:v>1421.0236977379298</c:v>
                </c:pt>
                <c:pt idx="598">
                  <c:v>1415.3609925853034</c:v>
                </c:pt>
                <c:pt idx="599">
                  <c:v>1409.6125548636094</c:v>
                </c:pt>
                <c:pt idx="600">
                  <c:v>1403.778757976364</c:v>
                </c:pt>
                <c:pt idx="601">
                  <c:v>1397.8599797297663</c:v>
                </c:pt>
                <c:pt idx="602">
                  <c:v>1391.8566022582283</c:v>
                </c:pt>
                <c:pt idx="603">
                  <c:v>1385.7690119493514</c:v>
                </c:pt>
                <c:pt idx="604">
                  <c:v>1379.5975993683812</c:v>
                </c:pt>
                <c:pt idx="605">
                  <c:v>1373.3427591821721</c:v>
                </c:pt>
                <c:pt idx="606">
                  <c:v>1367.0048900826882</c:v>
                </c:pt>
                <c:pt idx="607">
                  <c:v>1360.5843947100743</c:v>
                </c:pt>
                <c:pt idx="608">
                  <c:v>1354.081679575324</c:v>
                </c:pt>
                <c:pt idx="609">
                  <c:v>1347.4971549825741</c:v>
                </c:pt>
                <c:pt idx="610">
                  <c:v>1340.8312349510568</c:v>
                </c:pt>
                <c:pt idx="611">
                  <c:v>1334.084337136735</c:v>
                </c:pt>
                <c:pt idx="612">
                  <c:v>1327.2568827536529</c:v>
                </c:pt>
                <c:pt idx="613">
                  <c:v>1320.3492964950271</c:v>
                </c:pt>
                <c:pt idx="614">
                  <c:v>1313.3620064541085</c:v>
                </c:pt>
                <c:pt idx="615">
                  <c:v>1306.295444044842</c:v>
                </c:pt>
                <c:pt idx="616">
                  <c:v>1299.1500439223519</c:v>
                </c:pt>
                <c:pt idx="617">
                  <c:v>1291.9262439032798</c:v>
                </c:pt>
                <c:pt idx="618">
                  <c:v>1284.6244848860044</c:v>
                </c:pt>
                <c:pt idx="619">
                  <c:v>1277.2452107707661</c:v>
                </c:pt>
                <c:pt idx="620">
                  <c:v>1269.7888683797266</c:v>
                </c:pt>
                <c:pt idx="621">
                  <c:v>1262.2559073769892</c:v>
                </c:pt>
                <c:pt idx="622">
                  <c:v>1254.6467801886038</c:v>
                </c:pt>
                <c:pt idx="623">
                  <c:v>1246.9619419225851</c:v>
                </c:pt>
                <c:pt idx="624">
                  <c:v>1239.2018502889675</c:v>
                </c:pt>
                <c:pt idx="625">
                  <c:v>1231.3669655199242</c:v>
                </c:pt>
                <c:pt idx="626">
                  <c:v>1223.457750289971</c:v>
                </c:pt>
                <c:pt idx="627">
                  <c:v>1215.4746696362863</c:v>
                </c:pt>
                <c:pt idx="628">
                  <c:v>1207.4181908791631</c:v>
                </c:pt>
                <c:pt idx="629">
                  <c:v>1199.2887835426257</c:v>
                </c:pt>
                <c:pt idx="630">
                  <c:v>1191.0869192752264</c:v>
                </c:pt>
                <c:pt idx="631">
                  <c:v>1182.8130717710524</c:v>
                </c:pt>
                <c:pt idx="632">
                  <c:v>1174.467716690961</c:v>
                </c:pt>
                <c:pt idx="633">
                  <c:v>1166.0513315840678</c:v>
                </c:pt>
                <c:pt idx="634">
                  <c:v>1157.5643958095104</c:v>
                </c:pt>
                <c:pt idx="635">
                  <c:v>1149.0073904585065</c:v>
                </c:pt>
                <c:pt idx="636">
                  <c:v>1140.3807982767325</c:v>
                </c:pt>
                <c:pt idx="637">
                  <c:v>1131.6851035870388</c:v>
                </c:pt>
                <c:pt idx="638">
                  <c:v>1122.9207922125261</c:v>
                </c:pt>
                <c:pt idx="639">
                  <c:v>1114.0883514000002</c:v>
                </c:pt>
                <c:pt idx="640">
                  <c:v>1105.1882697438273</c:v>
                </c:pt>
                <c:pt idx="641">
                  <c:v>1096.2210371102076</c:v>
                </c:pt>
                <c:pt idx="642">
                  <c:v>1087.1871445618872</c:v>
                </c:pt>
                <c:pt idx="643">
                  <c:v>1078.0870842833267</c:v>
                </c:pt>
                <c:pt idx="644">
                  <c:v>1068.9213495063434</c:v>
                </c:pt>
                <c:pt idx="645">
                  <c:v>1059.6904344362472</c:v>
                </c:pt>
                <c:pt idx="646">
                  <c:v>1050.3948341784856</c:v>
                </c:pt>
                <c:pt idx="647">
                  <c:v>1041.0350446658153</c:v>
                </c:pt>
                <c:pt idx="648">
                  <c:v>1031.6115625860173</c:v>
                </c:pt>
                <c:pt idx="649">
                  <c:v>1022.1248853101699</c:v>
                </c:pt>
                <c:pt idx="650">
                  <c:v>1012.575510821498</c:v>
                </c:pt>
                <c:pt idx="651">
                  <c:v>1002.9639376448107</c:v>
                </c:pt>
                <c:pt idx="652">
                  <c:v>993.29066477654419</c:v>
                </c:pt>
                <c:pt idx="653">
                  <c:v>983.55619161542302</c:v>
                </c:pt>
                <c:pt idx="654">
                  <c:v>973.76101789375389</c:v>
                </c:pt>
                <c:pt idx="655">
                  <c:v>963.9056436093656</c:v>
                </c:pt>
                <c:pt idx="656">
                  <c:v>953.99056895820729</c:v>
                </c:pt>
                <c:pt idx="657">
                  <c:v>944.01629426761849</c:v>
                </c:pt>
                <c:pt idx="658">
                  <c:v>933.98331993028205</c:v>
                </c:pt>
                <c:pt idx="659">
                  <c:v>923.89214633887218</c:v>
                </c:pt>
                <c:pt idx="660">
                  <c:v>913.74327382140814</c:v>
                </c:pt>
                <c:pt idx="661">
                  <c:v>903.53720257732516</c:v>
                </c:pt>
                <c:pt idx="662">
                  <c:v>893.2744326142722</c:v>
                </c:pt>
                <c:pt idx="663">
                  <c:v>882.95546368564612</c:v>
                </c:pt>
                <c:pt idx="664">
                  <c:v>872.58079522887238</c:v>
                </c:pt>
                <c:pt idx="665">
                  <c:v>862.15092630444065</c:v>
                </c:pt>
                <c:pt idx="666">
                  <c:v>851.66635553570438</c:v>
                </c:pt>
                <c:pt idx="667">
                  <c:v>841.12758104945158</c:v>
                </c:pt>
                <c:pt idx="668">
                  <c:v>830.53510041725531</c:v>
                </c:pt>
                <c:pt idx="669">
                  <c:v>819.88941059761066</c:v>
                </c:pt>
                <c:pt idx="670">
                  <c:v>809.19100787886487</c:v>
                </c:pt>
                <c:pt idx="671">
                  <c:v>798.44038782294763</c:v>
                </c:pt>
                <c:pt idx="672">
                  <c:v>787.63804520990686</c:v>
                </c:pt>
                <c:pt idx="673">
                  <c:v>776.78447398325591</c:v>
                </c:pt>
                <c:pt idx="674">
                  <c:v>765.88016719613665</c:v>
                </c:pt>
                <c:pt idx="675">
                  <c:v>754.92561695830489</c:v>
                </c:pt>
                <c:pt idx="676">
                  <c:v>743.92131438394006</c:v>
                </c:pt>
                <c:pt idx="677">
                  <c:v>732.86774954028544</c:v>
                </c:pt>
                <c:pt idx="678">
                  <c:v>721.7654113971206</c:v>
                </c:pt>
                <c:pt idx="679">
                  <c:v>710.61478777707066</c:v>
                </c:pt>
                <c:pt idx="680">
                  <c:v>699.41636530675441</c:v>
                </c:pt>
                <c:pt idx="681">
                  <c:v>688.17062936877369</c:v>
                </c:pt>
                <c:pt idx="682">
                  <c:v>676.87806405454683</c:v>
                </c:pt>
                <c:pt idx="683">
                  <c:v>665.53915211798653</c:v>
                </c:pt>
                <c:pt idx="684">
                  <c:v>654.15437493002503</c:v>
                </c:pt>
                <c:pt idx="685">
                  <c:v>642.72421243398628</c:v>
                </c:pt>
                <c:pt idx="686">
                  <c:v>631.24914310180691</c:v>
                </c:pt>
                <c:pt idx="687">
                  <c:v>619.72964389110473</c:v>
                </c:pt>
                <c:pt idx="688">
                  <c:v>608.16619020309668</c:v>
                </c:pt>
                <c:pt idx="689">
                  <c:v>596.55925584136423</c:v>
                </c:pt>
                <c:pt idx="690">
                  <c:v>584.90931297146608</c:v>
                </c:pt>
                <c:pt idx="691">
                  <c:v>573.2168320813978</c:v>
                </c:pt>
                <c:pt idx="692">
                  <c:v>561.48228194289595</c:v>
                </c:pt>
                <c:pt idx="693">
                  <c:v>549.70612957358617</c:v>
                </c:pt>
                <c:pt idx="694">
                  <c:v>537.88884019997215</c:v>
                </c:pt>
                <c:pt idx="695">
                  <c:v>526.03087722126452</c:v>
                </c:pt>
                <c:pt idx="696">
                  <c:v>514.13270217404636</c:v>
                </c:pt>
                <c:pt idx="697">
                  <c:v>502.19477469777269</c:v>
                </c:pt>
                <c:pt idx="698">
                  <c:v>490.2175525011009</c:v>
                </c:pt>
                <c:pt idx="699">
                  <c:v>478.20149132904936</c:v>
                </c:pt>
                <c:pt idx="700">
                  <c:v>466.14704493097975</c:v>
                </c:pt>
                <c:pt idx="701">
                  <c:v>454.05466502939987</c:v>
                </c:pt>
                <c:pt idx="702">
                  <c:v>441.92480128958294</c:v>
                </c:pt>
                <c:pt idx="703">
                  <c:v>429.75790128999876</c:v>
                </c:pt>
                <c:pt idx="704">
                  <c:v>417.55441049355227</c:v>
                </c:pt>
                <c:pt idx="705">
                  <c:v>405.31477221962513</c:v>
                </c:pt>
                <c:pt idx="706">
                  <c:v>393.03942761691508</c:v>
                </c:pt>
                <c:pt idx="707">
                  <c:v>380.72881563706756</c:v>
                </c:pt>
                <c:pt idx="708">
                  <c:v>368.38337300909512</c:v>
                </c:pt>
                <c:pt idx="709">
                  <c:v>356.00353421457817</c:v>
                </c:pt>
                <c:pt idx="710">
                  <c:v>343.58973146364167</c:v>
                </c:pt>
                <c:pt idx="711">
                  <c:v>331.14239467170205</c:v>
                </c:pt>
                <c:pt idx="712">
                  <c:v>318.66195143697769</c:v>
                </c:pt>
                <c:pt idx="713">
                  <c:v>306.14882701875717</c:v>
                </c:pt>
                <c:pt idx="714">
                  <c:v>293.60344431641857</c:v>
                </c:pt>
                <c:pt idx="715">
                  <c:v>281.02622384919334</c:v>
                </c:pt>
                <c:pt idx="716">
                  <c:v>268.41758373666784</c:v>
                </c:pt>
                <c:pt idx="717">
                  <c:v>255.77793968001561</c:v>
                </c:pt>
                <c:pt idx="718">
                  <c:v>243.10770494395373</c:v>
                </c:pt>
                <c:pt idx="719">
                  <c:v>230.40729033941557</c:v>
                </c:pt>
                <c:pt idx="720">
                  <c:v>217.67710420693271</c:v>
                </c:pt>
                <c:pt idx="721">
                  <c:v>204.91755240071916</c:v>
                </c:pt>
                <c:pt idx="722">
                  <c:v>192.12903827344942</c:v>
                </c:pt>
                <c:pt idx="723">
                  <c:v>179.31196266172367</c:v>
                </c:pt>
                <c:pt idx="724">
                  <c:v>166.46672387221156</c:v>
                </c:pt>
                <c:pt idx="725">
                  <c:v>153.59371766846726</c:v>
                </c:pt>
                <c:pt idx="726">
                  <c:v>140.69333725840767</c:v>
                </c:pt>
                <c:pt idx="727">
                  <c:v>127.76597328244571</c:v>
                </c:pt>
                <c:pt idx="728">
                  <c:v>114.81201380227068</c:v>
                </c:pt>
                <c:pt idx="729">
                  <c:v>101.83184429026741</c:v>
                </c:pt>
                <c:pt idx="730">
                  <c:v>88.825847619566105</c:v>
                </c:pt>
                <c:pt idx="731">
                  <c:v>75.794404054714477</c:v>
                </c:pt>
                <c:pt idx="732">
                  <c:v>62.737891242963798</c:v>
                </c:pt>
                <c:pt idx="733">
                  <c:v>49.656684206160456</c:v>
                </c:pt>
                <c:pt idx="734">
                  <c:v>36.551155333234618</c:v>
                </c:pt>
                <c:pt idx="735">
                  <c:v>23.421674373277419</c:v>
                </c:pt>
                <c:pt idx="736">
                  <c:v>10.268608429198123</c:v>
                </c:pt>
                <c:pt idx="737">
                  <c:v>-2.907678048047261</c:v>
                </c:pt>
                <c:pt idx="738">
                  <c:v>-2.9208658653494415</c:v>
                </c:pt>
                <c:pt idx="739">
                  <c:v>-2.9340537053299505</c:v>
                </c:pt>
                <c:pt idx="740">
                  <c:v>-2.9472415679884314</c:v>
                </c:pt>
                <c:pt idx="741">
                  <c:v>-2.9604294533245268</c:v>
                </c:pt>
                <c:pt idx="742">
                  <c:v>-2.97361736133788</c:v>
                </c:pt>
                <c:pt idx="743">
                  <c:v>-2.9868052920281336</c:v>
                </c:pt>
                <c:pt idx="744">
                  <c:v>-2.999993245394931</c:v>
                </c:pt>
                <c:pt idx="745">
                  <c:v>-3.0131812214379146</c:v>
                </c:pt>
                <c:pt idx="746">
                  <c:v>-3.0263692201567274</c:v>
                </c:pt>
                <c:pt idx="747">
                  <c:v>-3.0395572415510124</c:v>
                </c:pt>
                <c:pt idx="748">
                  <c:v>-3.0527452856204129</c:v>
                </c:pt>
                <c:pt idx="749">
                  <c:v>-3.0659333523645715</c:v>
                </c:pt>
                <c:pt idx="750">
                  <c:v>-3.0791214417831312</c:v>
                </c:pt>
                <c:pt idx="751">
                  <c:v>-3.0923095538757348</c:v>
                </c:pt>
                <c:pt idx="752">
                  <c:v>-3.1054976886420254</c:v>
                </c:pt>
                <c:pt idx="753">
                  <c:v>-3.1186858460816458</c:v>
                </c:pt>
                <c:pt idx="754">
                  <c:v>-3.131874026194239</c:v>
                </c:pt>
                <c:pt idx="755">
                  <c:v>-3.1450622289794485</c:v>
                </c:pt>
                <c:pt idx="756">
                  <c:v>-3.1582504544369168</c:v>
                </c:pt>
                <c:pt idx="757">
                  <c:v>-3.1714387025662867</c:v>
                </c:pt>
                <c:pt idx="758">
                  <c:v>-3.1846269733672012</c:v>
                </c:pt>
                <c:pt idx="759">
                  <c:v>-3.1978152668393038</c:v>
                </c:pt>
                <c:pt idx="760">
                  <c:v>-3.211003582982237</c:v>
                </c:pt>
                <c:pt idx="761">
                  <c:v>-3.2241919217956436</c:v>
                </c:pt>
                <c:pt idx="762">
                  <c:v>-3.2373802832791672</c:v>
                </c:pt>
                <c:pt idx="763">
                  <c:v>-3.2505686674324501</c:v>
                </c:pt>
                <c:pt idx="764">
                  <c:v>-3.2637570742551358</c:v>
                </c:pt>
                <c:pt idx="765">
                  <c:v>-3.2769455037468669</c:v>
                </c:pt>
                <c:pt idx="766">
                  <c:v>-3.2901339559072866</c:v>
                </c:pt>
                <c:pt idx="767">
                  <c:v>-3.303322430736038</c:v>
                </c:pt>
                <c:pt idx="768">
                  <c:v>-3.3165109282327641</c:v>
                </c:pt>
                <c:pt idx="769">
                  <c:v>-3.3296994483971076</c:v>
                </c:pt>
                <c:pt idx="770">
                  <c:v>-3.3428879912287117</c:v>
                </c:pt>
                <c:pt idx="771">
                  <c:v>-3.3560765567272193</c:v>
                </c:pt>
                <c:pt idx="772">
                  <c:v>-3.3692651448922737</c:v>
                </c:pt>
                <c:pt idx="773">
                  <c:v>-3.3824537557235175</c:v>
                </c:pt>
                <c:pt idx="774">
                  <c:v>-3.395642389220594</c:v>
                </c:pt>
                <c:pt idx="775">
                  <c:v>-3.4088310453831459</c:v>
                </c:pt>
                <c:pt idx="776">
                  <c:v>-3.4220197242108163</c:v>
                </c:pt>
                <c:pt idx="777">
                  <c:v>-3.4352084257032485</c:v>
                </c:pt>
                <c:pt idx="778">
                  <c:v>-3.4483971498600852</c:v>
                </c:pt>
                <c:pt idx="779">
                  <c:v>-3.4615858966809698</c:v>
                </c:pt>
                <c:pt idx="780">
                  <c:v>-3.474774666165545</c:v>
                </c:pt>
                <c:pt idx="781">
                  <c:v>-3.487963458313454</c:v>
                </c:pt>
                <c:pt idx="782">
                  <c:v>-3.5011522731243394</c:v>
                </c:pt>
                <c:pt idx="783">
                  <c:v>-3.5143411105978446</c:v>
                </c:pt>
                <c:pt idx="784">
                  <c:v>-3.527529970733613</c:v>
                </c:pt>
                <c:pt idx="785">
                  <c:v>-3.540718853531287</c:v>
                </c:pt>
                <c:pt idx="786">
                  <c:v>-3.5539077589905101</c:v>
                </c:pt>
                <c:pt idx="787">
                  <c:v>-3.5670966871109249</c:v>
                </c:pt>
                <c:pt idx="788">
                  <c:v>-3.5802856378921746</c:v>
                </c:pt>
                <c:pt idx="789">
                  <c:v>-3.5934746113339022</c:v>
                </c:pt>
                <c:pt idx="790">
                  <c:v>-3.6066636074357512</c:v>
                </c:pt>
                <c:pt idx="791">
                  <c:v>-3.6198526261973645</c:v>
                </c:pt>
                <c:pt idx="792">
                  <c:v>-3.6330416676183845</c:v>
                </c:pt>
                <c:pt idx="793">
                  <c:v>-3.6462307316984552</c:v>
                </c:pt>
                <c:pt idx="794">
                  <c:v>-3.6594198184372191</c:v>
                </c:pt>
                <c:pt idx="795">
                  <c:v>-3.6726089278343195</c:v>
                </c:pt>
                <c:pt idx="796">
                  <c:v>-3.6857980598893989</c:v>
                </c:pt>
                <c:pt idx="797">
                  <c:v>-3.6989872146021012</c:v>
                </c:pt>
                <c:pt idx="798">
                  <c:v>-3.7121763919720689</c:v>
                </c:pt>
                <c:pt idx="799">
                  <c:v>-3.7253655919989455</c:v>
                </c:pt>
                <c:pt idx="800">
                  <c:v>-3.7385548146823737</c:v>
                </c:pt>
                <c:pt idx="801">
                  <c:v>-3.7517440600219967</c:v>
                </c:pt>
                <c:pt idx="802">
                  <c:v>-3.7649333280174573</c:v>
                </c:pt>
                <c:pt idx="803">
                  <c:v>-3.7781226186683989</c:v>
                </c:pt>
                <c:pt idx="804">
                  <c:v>-3.7913119319744646</c:v>
                </c:pt>
                <c:pt idx="805">
                  <c:v>-3.8045012679352976</c:v>
                </c:pt>
                <c:pt idx="806">
                  <c:v>-3.817690626550541</c:v>
                </c:pt>
                <c:pt idx="807">
                  <c:v>-3.8308800078198377</c:v>
                </c:pt>
                <c:pt idx="808">
                  <c:v>-3.8440694117428307</c:v>
                </c:pt>
                <c:pt idx="809">
                  <c:v>-3.8572588383191633</c:v>
                </c:pt>
                <c:pt idx="810">
                  <c:v>-3.8704482875484785</c:v>
                </c:pt>
                <c:pt idx="811">
                  <c:v>-3.8836377594304197</c:v>
                </c:pt>
                <c:pt idx="812">
                  <c:v>-3.8968272539646294</c:v>
                </c:pt>
                <c:pt idx="813">
                  <c:v>-3.9100167711507514</c:v>
                </c:pt>
                <c:pt idx="814">
                  <c:v>-3.9232063109884283</c:v>
                </c:pt>
                <c:pt idx="815">
                  <c:v>-3.9363958734773035</c:v>
                </c:pt>
                <c:pt idx="816">
                  <c:v>-3.9495854586170198</c:v>
                </c:pt>
                <c:pt idx="817">
                  <c:v>-3.9627750664072208</c:v>
                </c:pt>
                <c:pt idx="818">
                  <c:v>-3.9759646968475493</c:v>
                </c:pt>
                <c:pt idx="819">
                  <c:v>-3.9891543499376483</c:v>
                </c:pt>
                <c:pt idx="820">
                  <c:v>-4.0023440256771616</c:v>
                </c:pt>
                <c:pt idx="821">
                  <c:v>-4.0155337240657314</c:v>
                </c:pt>
                <c:pt idx="822">
                  <c:v>-4.0287234451030018</c:v>
                </c:pt>
                <c:pt idx="823">
                  <c:v>-4.0419131887886151</c:v>
                </c:pt>
                <c:pt idx="824">
                  <c:v>-4.0551029551222149</c:v>
                </c:pt>
                <c:pt idx="825">
                  <c:v>-4.0682927441034442</c:v>
                </c:pt>
                <c:pt idx="826">
                  <c:v>-4.0814825557319461</c:v>
                </c:pt>
                <c:pt idx="827">
                  <c:v>-4.0946723900073634</c:v>
                </c:pt>
                <c:pt idx="828">
                  <c:v>-4.10786224692934</c:v>
                </c:pt>
                <c:pt idx="829">
                  <c:v>-4.1210521264975188</c:v>
                </c:pt>
                <c:pt idx="830">
                  <c:v>-4.1342420287115429</c:v>
                </c:pt>
                <c:pt idx="831">
                  <c:v>-4.1474319535710551</c:v>
                </c:pt>
                <c:pt idx="832">
                  <c:v>-4.1606219010756993</c:v>
                </c:pt>
                <c:pt idx="833">
                  <c:v>-4.1738118712251184</c:v>
                </c:pt>
                <c:pt idx="834">
                  <c:v>-4.1870018640189555</c:v>
                </c:pt>
                <c:pt idx="835">
                  <c:v>-4.2001918794568533</c:v>
                </c:pt>
                <c:pt idx="836">
                  <c:v>-4.2133819175384559</c:v>
                </c:pt>
                <c:pt idx="837">
                  <c:v>-4.2265719782634052</c:v>
                </c:pt>
                <c:pt idx="838">
                  <c:v>-4.2397620616313452</c:v>
                </c:pt>
                <c:pt idx="839">
                  <c:v>-4.2529521676419195</c:v>
                </c:pt>
                <c:pt idx="840">
                  <c:v>-4.2661422962947704</c:v>
                </c:pt>
                <c:pt idx="841">
                  <c:v>-4.2793324475895416</c:v>
                </c:pt>
                <c:pt idx="842">
                  <c:v>-4.292522621525876</c:v>
                </c:pt>
                <c:pt idx="843">
                  <c:v>-4.3057128181034177</c:v>
                </c:pt>
                <c:pt idx="844">
                  <c:v>-4.3189030373218085</c:v>
                </c:pt>
                <c:pt idx="845">
                  <c:v>-4.3320932791806923</c:v>
                </c:pt>
                <c:pt idx="846">
                  <c:v>-4.3452835436797121</c:v>
                </c:pt>
                <c:pt idx="847">
                  <c:v>-4.3584738308185118</c:v>
                </c:pt>
                <c:pt idx="848">
                  <c:v>-4.3716641405967334</c:v>
                </c:pt>
                <c:pt idx="849">
                  <c:v>-4.3848544730140206</c:v>
                </c:pt>
                <c:pt idx="850">
                  <c:v>-4.3980448280700175</c:v>
                </c:pt>
                <c:pt idx="851">
                  <c:v>-4.411235205764366</c:v>
                </c:pt>
                <c:pt idx="852">
                  <c:v>-4.42442560609671</c:v>
                </c:pt>
                <c:pt idx="853">
                  <c:v>-4.4376160290666933</c:v>
                </c:pt>
                <c:pt idx="854">
                  <c:v>-4.450806474673958</c:v>
                </c:pt>
                <c:pt idx="855">
                  <c:v>-4.4639969429181479</c:v>
                </c:pt>
                <c:pt idx="856">
                  <c:v>-4.4771874337989059</c:v>
                </c:pt>
                <c:pt idx="857">
                  <c:v>-4.4903779473158751</c:v>
                </c:pt>
                <c:pt idx="858">
                  <c:v>-4.5035684834686993</c:v>
                </c:pt>
                <c:pt idx="859">
                  <c:v>-4.5167590422570214</c:v>
                </c:pt>
                <c:pt idx="860">
                  <c:v>-4.5299496236804853</c:v>
                </c:pt>
                <c:pt idx="861">
                  <c:v>-4.5431402277387329</c:v>
                </c:pt>
                <c:pt idx="862">
                  <c:v>-4.5563308544314083</c:v>
                </c:pt>
                <c:pt idx="863">
                  <c:v>-4.5695215037581551</c:v>
                </c:pt>
                <c:pt idx="864">
                  <c:v>-4.5827121757186156</c:v>
                </c:pt>
                <c:pt idx="865">
                  <c:v>-4.5959028703124334</c:v>
                </c:pt>
                <c:pt idx="866">
                  <c:v>-4.6090935875392525</c:v>
                </c:pt>
                <c:pt idx="867">
                  <c:v>-4.6222843273987149</c:v>
                </c:pt>
                <c:pt idx="868">
                  <c:v>-4.6354750898904644</c:v>
                </c:pt>
                <c:pt idx="869">
                  <c:v>-4.648665875014145</c:v>
                </c:pt>
                <c:pt idx="870">
                  <c:v>-4.6618566827693995</c:v>
                </c:pt>
                <c:pt idx="871">
                  <c:v>-4.6750475131558709</c:v>
                </c:pt>
                <c:pt idx="872">
                  <c:v>-4.6882383661732021</c:v>
                </c:pt>
                <c:pt idx="873">
                  <c:v>-4.7014292418210371</c:v>
                </c:pt>
                <c:pt idx="874">
                  <c:v>-4.7146201400990186</c:v>
                </c:pt>
                <c:pt idx="875">
                  <c:v>-4.7278110610067907</c:v>
                </c:pt>
                <c:pt idx="876">
                  <c:v>-4.7410020045439953</c:v>
                </c:pt>
                <c:pt idx="877">
                  <c:v>-4.7541929707102772</c:v>
                </c:pt>
                <c:pt idx="878">
                  <c:v>-4.7673839595052785</c:v>
                </c:pt>
                <c:pt idx="879">
                  <c:v>-4.7805749709286429</c:v>
                </c:pt>
                <c:pt idx="880">
                  <c:v>-4.7937660049800144</c:v>
                </c:pt>
                <c:pt idx="881">
                  <c:v>-4.8069570616590349</c:v>
                </c:pt>
                <c:pt idx="882">
                  <c:v>-4.8201481409653493</c:v>
                </c:pt>
                <c:pt idx="883">
                  <c:v>-4.8333392428985995</c:v>
                </c:pt>
                <c:pt idx="884">
                  <c:v>-4.8465303674584295</c:v>
                </c:pt>
                <c:pt idx="885">
                  <c:v>-4.8597215146444821</c:v>
                </c:pt>
                <c:pt idx="886">
                  <c:v>-4.8729126844564012</c:v>
                </c:pt>
                <c:pt idx="887">
                  <c:v>-4.8861038768938299</c:v>
                </c:pt>
                <c:pt idx="888">
                  <c:v>-4.8992950919564118</c:v>
                </c:pt>
                <c:pt idx="889">
                  <c:v>-4.91248632964379</c:v>
                </c:pt>
                <c:pt idx="890">
                  <c:v>-4.9256775899556073</c:v>
                </c:pt>
                <c:pt idx="891">
                  <c:v>-4.9388688728915078</c:v>
                </c:pt>
                <c:pt idx="892">
                  <c:v>-4.9520601784511342</c:v>
                </c:pt>
                <c:pt idx="893">
                  <c:v>-4.9652515066341296</c:v>
                </c:pt>
                <c:pt idx="894">
                  <c:v>-4.9784428574401378</c:v>
                </c:pt>
                <c:pt idx="895">
                  <c:v>-4.9916342308688026</c:v>
                </c:pt>
                <c:pt idx="896">
                  <c:v>-5.0048256269197671</c:v>
                </c:pt>
                <c:pt idx="897">
                  <c:v>-5.018017045592674</c:v>
                </c:pt>
                <c:pt idx="898">
                  <c:v>-5.0312084868871674</c:v>
                </c:pt>
                <c:pt idx="899">
                  <c:v>-5.0443999508028901</c:v>
                </c:pt>
                <c:pt idx="900">
                  <c:v>-5.057591437339485</c:v>
                </c:pt>
                <c:pt idx="901">
                  <c:v>-5.0707829464965961</c:v>
                </c:pt>
                <c:pt idx="902">
                  <c:v>-5.0839744782738672</c:v>
                </c:pt>
                <c:pt idx="903">
                  <c:v>-5.0971660326709411</c:v>
                </c:pt>
                <c:pt idx="904">
                  <c:v>-5.110357609687461</c:v>
                </c:pt>
                <c:pt idx="905">
                  <c:v>-5.1235492093230706</c:v>
                </c:pt>
                <c:pt idx="906">
                  <c:v>-5.1367408315774128</c:v>
                </c:pt>
                <c:pt idx="907">
                  <c:v>-5.1499324764501315</c:v>
                </c:pt>
                <c:pt idx="908">
                  <c:v>-5.1631241439408697</c:v>
                </c:pt>
                <c:pt idx="909">
                  <c:v>-5.1763158340492712</c:v>
                </c:pt>
                <c:pt idx="910">
                  <c:v>-5.1895075467749789</c:v>
                </c:pt>
                <c:pt idx="911">
                  <c:v>-5.2026992821176368</c:v>
                </c:pt>
                <c:pt idx="912">
                  <c:v>-5.2158910400768876</c:v>
                </c:pt>
                <c:pt idx="913">
                  <c:v>-5.2290828206523745</c:v>
                </c:pt>
                <c:pt idx="914">
                  <c:v>-5.2422746238437412</c:v>
                </c:pt>
                <c:pt idx="915">
                  <c:v>-5.2554664496506316</c:v>
                </c:pt>
                <c:pt idx="916">
                  <c:v>-5.2686582980726886</c:v>
                </c:pt>
                <c:pt idx="917">
                  <c:v>-5.2818501691095552</c:v>
                </c:pt>
                <c:pt idx="918">
                  <c:v>-5.2950420627608752</c:v>
                </c:pt>
                <c:pt idx="919">
                  <c:v>-5.3082339790262925</c:v>
                </c:pt>
                <c:pt idx="920">
                  <c:v>-5.3214259179054499</c:v>
                </c:pt>
                <c:pt idx="921">
                  <c:v>-5.3346178793979906</c:v>
                </c:pt>
                <c:pt idx="922">
                  <c:v>-5.3478098635035582</c:v>
                </c:pt>
                <c:pt idx="923">
                  <c:v>-5.3610018702217968</c:v>
                </c:pt>
                <c:pt idx="924">
                  <c:v>-5.3741938995523491</c:v>
                </c:pt>
                <c:pt idx="925">
                  <c:v>-5.3873859514948581</c:v>
                </c:pt>
                <c:pt idx="926">
                  <c:v>-5.4005780260489678</c:v>
                </c:pt>
                <c:pt idx="927">
                  <c:v>-5.4137701232143218</c:v>
                </c:pt>
                <c:pt idx="928">
                  <c:v>-5.4269622429905633</c:v>
                </c:pt>
                <c:pt idx="929">
                  <c:v>-5.4401543853773351</c:v>
                </c:pt>
                <c:pt idx="930">
                  <c:v>-5.4533465503742811</c:v>
                </c:pt>
                <c:pt idx="931">
                  <c:v>-5.4665387379810451</c:v>
                </c:pt>
                <c:pt idx="932">
                  <c:v>-5.47973094819727</c:v>
                </c:pt>
                <c:pt idx="933">
                  <c:v>-5.4929231810225998</c:v>
                </c:pt>
                <c:pt idx="934">
                  <c:v>-5.5061154364566773</c:v>
                </c:pt>
                <c:pt idx="935">
                  <c:v>-5.5193077144991465</c:v>
                </c:pt>
                <c:pt idx="936">
                  <c:v>-5.5325000151496502</c:v>
                </c:pt>
                <c:pt idx="937">
                  <c:v>-5.5456923384078323</c:v>
                </c:pt>
                <c:pt idx="938">
                  <c:v>-5.5588846842733357</c:v>
                </c:pt>
                <c:pt idx="939">
                  <c:v>-5.5720770527458043</c:v>
                </c:pt>
                <c:pt idx="940">
                  <c:v>-5.585269443824882</c:v>
                </c:pt>
                <c:pt idx="941">
                  <c:v>-5.5984618575102116</c:v>
                </c:pt>
                <c:pt idx="942">
                  <c:v>-5.6116542938014371</c:v>
                </c:pt>
                <c:pt idx="943">
                  <c:v>-5.6248467526982013</c:v>
                </c:pt>
                <c:pt idx="944">
                  <c:v>-5.6380392342001482</c:v>
                </c:pt>
                <c:pt idx="945">
                  <c:v>-5.6512317383069206</c:v>
                </c:pt>
                <c:pt idx="946">
                  <c:v>-5.6644242650181624</c:v>
                </c:pt>
                <c:pt idx="947">
                  <c:v>-5.6776168143335175</c:v>
                </c:pt>
                <c:pt idx="948">
                  <c:v>-5.6908093862526288</c:v>
                </c:pt>
                <c:pt idx="949">
                  <c:v>-5.7040019807751392</c:v>
                </c:pt>
                <c:pt idx="950">
                  <c:v>-5.7171945979006935</c:v>
                </c:pt>
                <c:pt idx="951">
                  <c:v>-5.7303872376289346</c:v>
                </c:pt>
                <c:pt idx="952">
                  <c:v>-5.7435798999595056</c:v>
                </c:pt>
                <c:pt idx="953">
                  <c:v>-5.7567725848920501</c:v>
                </c:pt>
                <c:pt idx="954">
                  <c:v>-5.7699652924262121</c:v>
                </c:pt>
                <c:pt idx="955">
                  <c:v>-5.7831580225616346</c:v>
                </c:pt>
                <c:pt idx="956">
                  <c:v>-5.7963507752979613</c:v>
                </c:pt>
                <c:pt idx="957">
                  <c:v>-5.8095435506348352</c:v>
                </c:pt>
                <c:pt idx="958">
                  <c:v>-5.8227363485719001</c:v>
                </c:pt>
                <c:pt idx="959">
                  <c:v>-5.8359291691088</c:v>
                </c:pt>
                <c:pt idx="960">
                  <c:v>-5.8491220122451777</c:v>
                </c:pt>
                <c:pt idx="961">
                  <c:v>-5.8623148779806771</c:v>
                </c:pt>
                <c:pt idx="962">
                  <c:v>-5.875507766314942</c:v>
                </c:pt>
                <c:pt idx="963">
                  <c:v>-5.8887006772476154</c:v>
                </c:pt>
                <c:pt idx="964">
                  <c:v>-5.9018936107783411</c:v>
                </c:pt>
                <c:pt idx="965">
                  <c:v>-5.915086566906762</c:v>
                </c:pt>
                <c:pt idx="966">
                  <c:v>-5.9282795456325221</c:v>
                </c:pt>
                <c:pt idx="967">
                  <c:v>-5.9414725469552652</c:v>
                </c:pt>
                <c:pt idx="968">
                  <c:v>-5.9546655708746341</c:v>
                </c:pt>
                <c:pt idx="969">
                  <c:v>-5.9678586173902728</c:v>
                </c:pt>
                <c:pt idx="970">
                  <c:v>-5.9810516865018251</c:v>
                </c:pt>
                <c:pt idx="971">
                  <c:v>-5.9942447782089339</c:v>
                </c:pt>
                <c:pt idx="972">
                  <c:v>-6.007437892511243</c:v>
                </c:pt>
                <c:pt idx="973">
                  <c:v>-6.0206310294083965</c:v>
                </c:pt>
                <c:pt idx="974">
                  <c:v>-6.033824188900037</c:v>
                </c:pt>
                <c:pt idx="975">
                  <c:v>-6.0470173709858086</c:v>
                </c:pt>
                <c:pt idx="976">
                  <c:v>-6.060210575665355</c:v>
                </c:pt>
                <c:pt idx="977">
                  <c:v>-6.0734038029383193</c:v>
                </c:pt>
                <c:pt idx="978">
                  <c:v>-6.0865970528043452</c:v>
                </c:pt>
                <c:pt idx="979">
                  <c:v>-6.0997903252630756</c:v>
                </c:pt>
                <c:pt idx="980">
                  <c:v>-6.1129836203141545</c:v>
                </c:pt>
                <c:pt idx="981">
                  <c:v>-6.1261769379572257</c:v>
                </c:pt>
                <c:pt idx="982">
                  <c:v>-6.139370278191933</c:v>
                </c:pt>
                <c:pt idx="983">
                  <c:v>-6.1525636410179194</c:v>
                </c:pt>
                <c:pt idx="984">
                  <c:v>-6.1657570264348287</c:v>
                </c:pt>
                <c:pt idx="985">
                  <c:v>-6.1789504344423047</c:v>
                </c:pt>
                <c:pt idx="986">
                  <c:v>-6.1921438650399905</c:v>
                </c:pt>
                <c:pt idx="987">
                  <c:v>-6.2053373182275298</c:v>
                </c:pt>
                <c:pt idx="988">
                  <c:v>-6.2185307940045664</c:v>
                </c:pt>
                <c:pt idx="989">
                  <c:v>-6.2317242923707443</c:v>
                </c:pt>
                <c:pt idx="990">
                  <c:v>-6.2449178133257064</c:v>
                </c:pt>
                <c:pt idx="991">
                  <c:v>-6.2581113568690965</c:v>
                </c:pt>
                <c:pt idx="992">
                  <c:v>-6.2713049230005575</c:v>
                </c:pt>
                <c:pt idx="993">
                  <c:v>-6.2844985117197343</c:v>
                </c:pt>
                <c:pt idx="994">
                  <c:v>-6.2976921230262697</c:v>
                </c:pt>
                <c:pt idx="995">
                  <c:v>-6.3108857569198067</c:v>
                </c:pt>
                <c:pt idx="996">
                  <c:v>-6.32407941339999</c:v>
                </c:pt>
                <c:pt idx="997">
                  <c:v>-6.3372730924664626</c:v>
                </c:pt>
                <c:pt idx="998">
                  <c:v>-6.3504667941188684</c:v>
                </c:pt>
                <c:pt idx="999">
                  <c:v>-6.3636605183568511</c:v>
                </c:pt>
                <c:pt idx="1000">
                  <c:v>-6.3768542651800537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BC-E84B-8A2E-77A3E8DE6A60}"/>
            </c:ext>
          </c:extLst>
        </c:ser>
        <c:ser>
          <c:idx val="2"/>
          <c:order val="3"/>
          <c:tx>
            <c:strRef>
              <c:f>Trajecto!$B$108</c:f>
              <c:strCache>
                <c:ptCount val="1"/>
                <c:pt idx="0">
                  <c:v>Fusée sous parachute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BC-E84B-8A2E-77A3E8DE6A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Trajecto!$B$131:$B$137</c:f>
              <c:numCache>
                <c:formatCode>0.0</c:formatCode>
                <c:ptCount val="7"/>
                <c:pt idx="0">
                  <c:v>17</c:v>
                </c:pt>
                <c:pt idx="1">
                  <c:v>112.80711679031656</c:v>
                </c:pt>
                <c:pt idx="2">
                  <c:v>208.61423358063311</c:v>
                </c:pt>
                <c:pt idx="3">
                  <c:v>207.03645135240239</c:v>
                </c:pt>
                <c:pt idx="4">
                  <c:v>208.61423358063311</c:v>
                </c:pt>
                <c:pt idx="5">
                  <c:v>203.26645135240236</c:v>
                </c:pt>
                <c:pt idx="6">
                  <c:v>208.61423358063311</c:v>
                </c:pt>
              </c:numCache>
            </c:numRef>
          </c:xVal>
          <c:yVal>
            <c:numRef>
              <c:f>Trajecto!$C$129:$C$135</c:f>
              <c:numCache>
                <c:formatCode>0</c:formatCode>
                <c:ptCount val="7"/>
                <c:pt idx="0">
                  <c:v>1590.400085181604</c:v>
                </c:pt>
                <c:pt idx="1">
                  <c:v>795.20004259080201</c:v>
                </c:pt>
                <c:pt idx="2">
                  <c:v>0</c:v>
                </c:pt>
                <c:pt idx="3">
                  <c:v>42.006158906023202</c:v>
                </c:pt>
                <c:pt idx="4">
                  <c:v>0</c:v>
                </c:pt>
                <c:pt idx="5">
                  <c:v>15.565904519673763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BC-E84B-8A2E-77A3E8DE6A60}"/>
            </c:ext>
          </c:extLst>
        </c:ser>
        <c:ser>
          <c:idx val="3"/>
          <c:order val="4"/>
          <c:tx>
            <c:strRef>
              <c:f>Trajecto!$B$109</c:f>
              <c:strCache>
                <c:ptCount val="1"/>
                <c:pt idx="0">
                  <c:v>Satellite sous parachute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FF66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BC-E84B-8A2E-77A3E8DE6A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Trajecto!$B$148:$B$154</c:f>
              <c:numCache>
                <c:formatCode>0.0</c:formatCode>
                <c:ptCount val="7"/>
                <c:pt idx="0">
                  <c:v>6.6</c:v>
                </c:pt>
                <c:pt idx="1">
                  <c:v>43.362659447086159</c:v>
                </c:pt>
                <c:pt idx="2">
                  <c:v>80.125318894172324</c:v>
                </c:pt>
                <c:pt idx="3">
                  <c:v>77.812642875648393</c:v>
                </c:pt>
                <c:pt idx="4">
                  <c:v>80.125318894172324</c:v>
                </c:pt>
                <c:pt idx="5">
                  <c:v>76.217994912696199</c:v>
                </c:pt>
                <c:pt idx="6">
                  <c:v>80.125318894172324</c:v>
                </c:pt>
              </c:numCache>
            </c:numRef>
          </c:xVal>
          <c:yVal>
            <c:numRef>
              <c:f>Trajecto!$C$146:$C$152</c:f>
              <c:numCache>
                <c:formatCode>0</c:formatCode>
                <c:ptCount val="7"/>
                <c:pt idx="0">
                  <c:v>930.50427764544861</c:v>
                </c:pt>
                <c:pt idx="1">
                  <c:v>465.25213882272431</c:v>
                </c:pt>
                <c:pt idx="2">
                  <c:v>0</c:v>
                </c:pt>
                <c:pt idx="3">
                  <c:v>62.614747019284266</c:v>
                </c:pt>
                <c:pt idx="4">
                  <c:v>0</c:v>
                </c:pt>
                <c:pt idx="5">
                  <c:v>0.78819830002628066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BC-E84B-8A2E-77A3E8DE6A60}"/>
            </c:ext>
          </c:extLst>
        </c:ser>
        <c:ser>
          <c:idx val="5"/>
          <c:order val="5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Calculs!$AE$4:$AE$1004</c:f>
              <c:numCache>
                <c:formatCode>0</c:formatCode>
                <c:ptCount val="1001"/>
                <c:pt idx="0">
                  <c:v>0</c:v>
                </c:pt>
                <c:pt idx="1">
                  <c:v>3.562696885685801E-5</c:v>
                </c:pt>
                <c:pt idx="2">
                  <c:v>1.1875575187218533E-3</c:v>
                </c:pt>
                <c:pt idx="3">
                  <c:v>5.5464952848076647E-3</c:v>
                </c:pt>
                <c:pt idx="4">
                  <c:v>1.5204678378389128E-2</c:v>
                </c:pt>
                <c:pt idx="5">
                  <c:v>3.2256526919684975E-2</c:v>
                </c:pt>
                <c:pt idx="6">
                  <c:v>5.8269452385194841E-2</c:v>
                </c:pt>
                <c:pt idx="7">
                  <c:v>9.3753305161804801E-2</c:v>
                </c:pt>
                <c:pt idx="8">
                  <c:v>0.13868858422863994</c:v>
                </c:pt>
                <c:pt idx="9">
                  <c:v>0.19305568704877241</c:v>
                </c:pt>
                <c:pt idx="10">
                  <c:v>0.25683490991255581</c:v>
                </c:pt>
                <c:pt idx="11">
                  <c:v>0.33000644828484993</c:v>
                </c:pt>
                <c:pt idx="12">
                  <c:v>0.41255039715610847</c:v>
                </c:pt>
                <c:pt idx="13">
                  <c:v>0.50444675139730177</c:v>
                </c:pt>
                <c:pt idx="14">
                  <c:v>0.60567540611864645</c:v>
                </c:pt>
                <c:pt idx="15">
                  <c:v>0.71621615703211317</c:v>
                </c:pt>
                <c:pt idx="16">
                  <c:v>0.83604870081768412</c:v>
                </c:pt>
                <c:pt idx="17">
                  <c:v>0.96515263549333041</c:v>
                </c:pt>
                <c:pt idx="18">
                  <c:v>1.1035074607886803</c:v>
                </c:pt>
                <c:pt idx="19">
                  <c:v>1.2510925785223481</c:v>
                </c:pt>
                <c:pt idx="20">
                  <c:v>1.4078872929828936</c:v>
                </c:pt>
                <c:pt idx="21">
                  <c:v>1.5738708113133821</c:v>
                </c:pt>
                <c:pt idx="22">
                  <c:v>1.7490222438995127</c:v>
                </c:pt>
                <c:pt idx="23">
                  <c:v>1.9333206047612856</c:v>
                </c:pt>
                <c:pt idx="24">
                  <c:v>2.1267448119481767</c:v>
                </c:pt>
                <c:pt idx="25">
                  <c:v>2.3292736879377847</c:v>
                </c:pt>
                <c:pt idx="26">
                  <c:v>2.540885960037925</c:v>
                </c:pt>
                <c:pt idx="27">
                  <c:v>2.7615602607921304</c:v>
                </c:pt>
                <c:pt idx="28">
                  <c:v>2.9912751283885326</c:v>
                </c:pt>
                <c:pt idx="29">
                  <c:v>3.230009007072089</c:v>
                </c:pt>
                <c:pt idx="30">
                  <c:v>3.4777402475601189</c:v>
                </c:pt>
                <c:pt idx="31">
                  <c:v>3.7344471074611216</c:v>
                </c:pt>
                <c:pt idx="32">
                  <c:v>4.000107751696838</c:v>
                </c:pt>
                <c:pt idx="33">
                  <c:v>4.274696525166461</c:v>
                </c:pt>
                <c:pt idx="34">
                  <c:v>4.5581875509029022</c:v>
                </c:pt>
                <c:pt idx="35">
                  <c:v>4.8505584600409337</c:v>
                </c:pt>
                <c:pt idx="36">
                  <c:v>5.1517867981019645</c:v>
                </c:pt>
                <c:pt idx="37">
                  <c:v>5.4618500270532619</c:v>
                </c:pt>
                <c:pt idx="38">
                  <c:v>5.7807255254015475</c:v>
                </c:pt>
                <c:pt idx="39">
                  <c:v>6.108390588317401</c:v>
                </c:pt>
                <c:pt idx="40">
                  <c:v>6.4448224277874928</c:v>
                </c:pt>
                <c:pt idx="41">
                  <c:v>6.78999817279204</c:v>
                </c:pt>
                <c:pt idx="42">
                  <c:v>7.1438948695052158</c:v>
                </c:pt>
                <c:pt idx="43">
                  <c:v>7.5064894815165157</c:v>
                </c:pt>
                <c:pt idx="44">
                  <c:v>7.8777588900713127</c:v>
                </c:pt>
                <c:pt idx="45">
                  <c:v>8.2576798943290477</c:v>
                </c:pt>
                <c:pt idx="46">
                  <c:v>8.6462292116376762</c:v>
                </c:pt>
                <c:pt idx="47">
                  <c:v>9.0433834778231219</c:v>
                </c:pt>
                <c:pt idx="48">
                  <c:v>9.4491192474926535</c:v>
                </c:pt>
                <c:pt idx="49">
                  <c:v>9.8634129943511848</c:v>
                </c:pt>
                <c:pt idx="50">
                  <c:v>10.286241111529611</c:v>
                </c:pt>
                <c:pt idx="51">
                  <c:v>10.717582703030709</c:v>
                </c:pt>
                <c:pt idx="52">
                  <c:v>11.157422379425888</c:v>
                </c:pt>
                <c:pt idx="53">
                  <c:v>11.605747472928835</c:v>
                </c:pt>
                <c:pt idx="54">
                  <c:v>12.062545248107767</c:v>
                </c:pt>
                <c:pt idx="55">
                  <c:v>12.5278029020023</c:v>
                </c:pt>
                <c:pt idx="56">
                  <c:v>13.001507564247742</c:v>
                </c:pt>
                <c:pt idx="57">
                  <c:v>13.483646297206469</c:v>
                </c:pt>
                <c:pt idx="58">
                  <c:v>13.974206096106016</c:v>
                </c:pt>
                <c:pt idx="59">
                  <c:v>14.473173889183581</c:v>
                </c:pt>
                <c:pt idx="60">
                  <c:v>14.980536537836667</c:v>
                </c:pt>
                <c:pt idx="61">
                  <c:v>15.496280836779572</c:v>
                </c:pt>
                <c:pt idx="62">
                  <c:v>16.020393514205502</c:v>
                </c:pt>
                <c:pt idx="63">
                  <c:v>16.552861231954065</c:v>
                </c:pt>
                <c:pt idx="64">
                  <c:v>17.093670585683952</c:v>
                </c:pt>
                <c:pt idx="65">
                  <c:v>17.642808105050591</c:v>
                </c:pt>
                <c:pt idx="66">
                  <c:v>18.200260253888597</c:v>
                </c:pt>
                <c:pt idx="67">
                  <c:v>18.766013430398861</c:v>
                </c:pt>
                <c:pt idx="68">
                  <c:v>19.340053967340097</c:v>
                </c:pt>
                <c:pt idx="69">
                  <c:v>19.922368132224715</c:v>
                </c:pt>
                <c:pt idx="70">
                  <c:v>20.51294212751888</c:v>
                </c:pt>
                <c:pt idx="71">
                  <c:v>21.111762090846604</c:v>
                </c:pt>
                <c:pt idx="72">
                  <c:v>21.718814095197782</c:v>
                </c:pt>
                <c:pt idx="73">
                  <c:v>22.334084149140036</c:v>
                </c:pt>
                <c:pt idx="74">
                  <c:v>22.957558197034245</c:v>
                </c:pt>
                <c:pt idx="75">
                  <c:v>23.589222119253687</c:v>
                </c:pt>
                <c:pt idx="76">
                  <c:v>24.229061732406674</c:v>
                </c:pt>
                <c:pt idx="77">
                  <c:v>24.877062789562594</c:v>
                </c:pt>
                <c:pt idx="78">
                  <c:v>25.533210980481272</c:v>
                </c:pt>
                <c:pt idx="79">
                  <c:v>26.197491931845555</c:v>
                </c:pt>
                <c:pt idx="80">
                  <c:v>26.869891207497066</c:v>
                </c:pt>
                <c:pt idx="81">
                  <c:v>27.55039430867502</c:v>
                </c:pt>
                <c:pt idx="82">
                  <c:v>28.238986674258054</c:v>
                </c:pt>
                <c:pt idx="83">
                  <c:v>28.93565368100899</c:v>
                </c:pt>
                <c:pt idx="84">
                  <c:v>29.640380643822454</c:v>
                </c:pt>
                <c:pt idx="85">
                  <c:v>30.35315281597531</c:v>
                </c:pt>
                <c:pt idx="86">
                  <c:v>31.073955389379837</c:v>
                </c:pt>
                <c:pt idx="87">
                  <c:v>31.802773494839574</c:v>
                </c:pt>
                <c:pt idx="88">
                  <c:v>32.539592202307801</c:v>
                </c:pt>
                <c:pt idx="89">
                  <c:v>33.284396521148587</c:v>
                </c:pt>
                <c:pt idx="90">
                  <c:v>34.037171400400354</c:v>
                </c:pt>
                <c:pt idx="91">
                  <c:v>34.797901729041897</c:v>
                </c:pt>
                <c:pt idx="92">
                  <c:v>35.566572336260847</c:v>
                </c:pt>
                <c:pt idx="93">
                  <c:v>36.343167991724457</c:v>
                </c:pt>
                <c:pt idx="94">
                  <c:v>37.12767340585274</c:v>
                </c:pt>
                <c:pt idx="95">
                  <c:v>37.92007323009387</c:v>
                </c:pt>
                <c:pt idx="96">
                  <c:v>38.720352057201815</c:v>
                </c:pt>
                <c:pt idx="97">
                  <c:v>39.528494421516164</c:v>
                </c:pt>
                <c:pt idx="98">
                  <c:v>40.344484799244064</c:v>
                </c:pt>
                <c:pt idx="99">
                  <c:v>41.168307608744314</c:v>
                </c:pt>
                <c:pt idx="100">
                  <c:v>41.999947210813467</c:v>
                </c:pt>
                <c:pt idx="101">
                  <c:v>42.839386621090078</c:v>
                </c:pt>
                <c:pt idx="102">
                  <c:v>43.686606221046318</c:v>
                </c:pt>
                <c:pt idx="103">
                  <c:v>44.541585044517475</c:v>
                </c:pt>
                <c:pt idx="104">
                  <c:v>45.404302065707192</c:v>
                </c:pt>
                <c:pt idx="105">
                  <c:v>46.274736199601875</c:v>
                </c:pt>
                <c:pt idx="106">
                  <c:v>47.152866302386762</c:v>
                </c:pt>
                <c:pt idx="107">
                  <c:v>48.038671171863662</c:v>
                </c:pt>
                <c:pt idx="108">
                  <c:v>48.932129547870304</c:v>
                </c:pt>
                <c:pt idx="109">
                  <c:v>49.833220112701213</c:v>
                </c:pt>
                <c:pt idx="110">
                  <c:v>50.741921491530142</c:v>
                </c:pt>
                <c:pt idx="111">
                  <c:v>51.658212252833941</c:v>
                </c:pt>
                <c:pt idx="112">
                  <c:v>52.582070908817876</c:v>
                </c:pt>
                <c:pt idx="113">
                  <c:v>53.513475915842321</c:v>
                </c:pt>
                <c:pt idx="114">
                  <c:v>54.452405674850795</c:v>
                </c:pt>
                <c:pt idx="115">
                  <c:v>55.398838531799292</c:v>
                </c:pt>
                <c:pt idx="116">
                  <c:v>56.352752778086909</c:v>
                </c:pt>
                <c:pt idx="117">
                  <c:v>57.314126650987625</c:v>
                </c:pt>
                <c:pt idx="118">
                  <c:v>58.282938334083319</c:v>
                </c:pt>
                <c:pt idx="119">
                  <c:v>59.259165957697896</c:v>
                </c:pt>
                <c:pt idx="120">
                  <c:v>60.24278759933253</c:v>
                </c:pt>
                <c:pt idx="121">
                  <c:v>61.233781284101966</c:v>
                </c:pt>
                <c:pt idx="122">
                  <c:v>62.232124985171808</c:v>
                </c:pt>
                <c:pt idx="123">
                  <c:v>63.237796624196861</c:v>
                </c:pt>
                <c:pt idx="124">
                  <c:v>64.250774071760361</c:v>
                </c:pt>
                <c:pt idx="125">
                  <c:v>65.271035147814132</c:v>
                </c:pt>
                <c:pt idx="126">
                  <c:v>66.298557622119631</c:v>
                </c:pt>
                <c:pt idx="127">
                  <c:v>67.333319214689794</c:v>
                </c:pt>
                <c:pt idx="128">
                  <c:v>68.375297596231746</c:v>
                </c:pt>
                <c:pt idx="129">
                  <c:v>69.42447038859018</c:v>
                </c:pt>
                <c:pt idx="130">
                  <c:v>70.48081516519153</c:v>
                </c:pt>
                <c:pt idx="131">
                  <c:v>71.544309451488857</c:v>
                </c:pt>
                <c:pt idx="132">
                  <c:v>72.614930725407319</c:v>
                </c:pt>
                <c:pt idx="133">
                  <c:v>73.692656417790317</c:v>
                </c:pt>
                <c:pt idx="134">
                  <c:v>74.777463912846187</c:v>
                </c:pt>
                <c:pt idx="135">
                  <c:v>75.869330548595499</c:v>
                </c:pt>
                <c:pt idx="136">
                  <c:v>76.968233617318845</c:v>
                </c:pt>
                <c:pt idx="137">
                  <c:v>78.074150366005099</c:v>
                </c:pt>
                <c:pt idx="138">
                  <c:v>79.187057996800164</c:v>
                </c:pt>
                <c:pt idx="139">
                  <c:v>80.306933667456079</c:v>
                </c:pt>
                <c:pt idx="140">
                  <c:v>81.433754491780604</c:v>
                </c:pt>
                <c:pt idx="141">
                  <c:v>82.567497540087061</c:v>
                </c:pt>
                <c:pt idx="142">
                  <c:v>83.708139839644559</c:v>
                </c:pt>
                <c:pt idx="143">
                  <c:v>84.855658375128485</c:v>
                </c:pt>
                <c:pt idx="144">
                  <c:v>86.010030089071236</c:v>
                </c:pt>
                <c:pt idx="145">
                  <c:v>87.171231882313208</c:v>
                </c:pt>
                <c:pt idx="146">
                  <c:v>88.339240614453956</c:v>
                </c:pt>
                <c:pt idx="147">
                  <c:v>89.514033104303522</c:v>
                </c:pt>
                <c:pt idx="148">
                  <c:v>90.695586130333879</c:v>
                </c:pt>
                <c:pt idx="149">
                  <c:v>91.883876431130489</c:v>
                </c:pt>
                <c:pt idx="150">
                  <c:v>93.078880705843929</c:v>
                </c:pt>
                <c:pt idx="151">
                  <c:v>94.280576053152885</c:v>
                </c:pt>
                <c:pt idx="152">
                  <c:v>95.488940410499865</c:v>
                </c:pt>
                <c:pt idx="153">
                  <c:v>96.703952116208185</c:v>
                </c:pt>
                <c:pt idx="154">
                  <c:v>97.925589471307063</c:v>
                </c:pt>
                <c:pt idx="155">
                  <c:v>99.153830739944809</c:v>
                </c:pt>
                <c:pt idx="156">
                  <c:v>100.38865414980206</c:v>
                </c:pt>
                <c:pt idx="157">
                  <c:v>101.63003789250509</c:v>
                </c:pt>
                <c:pt idx="158">
                  <c:v>102.87796012403895</c:v>
                </c:pt>
                <c:pt idx="159">
                  <c:v>104.13239896516082</c:v>
                </c:pt>
                <c:pt idx="160">
                  <c:v>105.39333250181311</c:v>
                </c:pt>
                <c:pt idx="161">
                  <c:v>106.66073878553654</c:v>
                </c:pt>
                <c:pt idx="162">
                  <c:v>107.93459583388315</c:v>
                </c:pt>
                <c:pt idx="163">
                  <c:v>109.21488163082908</c:v>
                </c:pt>
                <c:pt idx="164">
                  <c:v>110.50157412718731</c:v>
                </c:pt>
                <c:pt idx="165">
                  <c:v>111.79465124102009</c:v>
                </c:pt>
                <c:pt idx="166">
                  <c:v>113.09409085805129</c:v>
                </c:pt>
                <c:pt idx="167">
                  <c:v>114.39987083207838</c:v>
                </c:pt>
                <c:pt idx="168">
                  <c:v>115.71196898538427</c:v>
                </c:pt>
                <c:pt idx="169">
                  <c:v>117.03036310914881</c:v>
                </c:pt>
                <c:pt idx="170">
                  <c:v>118.35503096385993</c:v>
                </c:pt>
                <c:pt idx="171">
                  <c:v>119.68595027972458</c:v>
                </c:pt>
                <c:pt idx="172">
                  <c:v>121.02309875707918</c:v>
                </c:pt>
                <c:pt idx="173">
                  <c:v>122.36645406679979</c:v>
                </c:pt>
                <c:pt idx="174">
                  <c:v>123.71599385071181</c:v>
                </c:pt>
                <c:pt idx="175">
                  <c:v>125.07169572199929</c:v>
                </c:pt>
                <c:pt idx="176">
                  <c:v>126.43353726561378</c:v>
                </c:pt>
                <c:pt idx="177">
                  <c:v>127.80149603868269</c:v>
                </c:pt>
                <c:pt idx="178">
                  <c:v>129.17554957091718</c:v>
                </c:pt>
                <c:pt idx="179">
                  <c:v>130.55567536501954</c:v>
                </c:pt>
                <c:pt idx="180">
                  <c:v>131.94185089709001</c:v>
                </c:pt>
                <c:pt idx="181">
                  <c:v>133.33405361703299</c:v>
                </c:pt>
                <c:pt idx="182">
                  <c:v>134.73226094896279</c:v>
                </c:pt>
                <c:pt idx="183">
                  <c:v>136.13645029160861</c:v>
                </c:pt>
                <c:pt idx="184">
                  <c:v>137.54659901871912</c:v>
                </c:pt>
                <c:pt idx="185">
                  <c:v>138.96268447946608</c:v>
                </c:pt>
                <c:pt idx="186">
                  <c:v>140.38468399884755</c:v>
                </c:pt>
                <c:pt idx="187">
                  <c:v>141.81257487809032</c:v>
                </c:pt>
                <c:pt idx="188">
                  <c:v>143.24633439505158</c:v>
                </c:pt>
                <c:pt idx="189">
                  <c:v>144.68593980461992</c:v>
                </c:pt>
                <c:pt idx="190">
                  <c:v>146.13136833911557</c:v>
                </c:pt>
                <c:pt idx="191">
                  <c:v>147.5825972086898</c:v>
                </c:pt>
                <c:pt idx="192">
                  <c:v>149.03960360172363</c:v>
                </c:pt>
                <c:pt idx="193">
                  <c:v>150.50236468522559</c:v>
                </c:pt>
                <c:pt idx="194">
                  <c:v>151.97085760522876</c:v>
                </c:pt>
                <c:pt idx="195">
                  <c:v>153.44505948718688</c:v>
                </c:pt>
                <c:pt idx="196">
                  <c:v>154.92494743636971</c:v>
                </c:pt>
                <c:pt idx="197">
                  <c:v>156.41049853825726</c:v>
                </c:pt>
                <c:pt idx="198">
                  <c:v>157.90168985893337</c:v>
                </c:pt>
                <c:pt idx="199">
                  <c:v>159.39849844547814</c:v>
                </c:pt>
                <c:pt idx="200">
                  <c:v>160.90090132635962</c:v>
                </c:pt>
                <c:pt idx="201">
                  <c:v>162.40887551182428</c:v>
                </c:pt>
                <c:pt idx="202">
                  <c:v>163.92239799428671</c:v>
                </c:pt>
                <c:pt idx="203">
                  <c:v>165.44144574871822</c:v>
                </c:pt>
                <c:pt idx="204">
                  <c:v>166.96599573303442</c:v>
                </c:pt>
                <c:pt idx="205">
                  <c:v>168.49602488848168</c:v>
                </c:pt>
                <c:pt idx="206">
                  <c:v>170.03151014002279</c:v>
                </c:pt>
                <c:pt idx="207">
                  <c:v>171.57242839672116</c:v>
                </c:pt>
                <c:pt idx="208">
                  <c:v>173.1187565521243</c:v>
                </c:pt>
                <c:pt idx="209">
                  <c:v>174.67047148464587</c:v>
                </c:pt>
                <c:pt idx="210">
                  <c:v>176.2275500579469</c:v>
                </c:pt>
                <c:pt idx="211">
                  <c:v>177.78996912131555</c:v>
                </c:pt>
                <c:pt idx="212">
                  <c:v>179.35770551004597</c:v>
                </c:pt>
                <c:pt idx="213">
                  <c:v>180.93073604581591</c:v>
                </c:pt>
                <c:pt idx="214">
                  <c:v>182.50903753706299</c:v>
                </c:pt>
                <c:pt idx="215">
                  <c:v>184.09258677935998</c:v>
                </c:pt>
                <c:pt idx="216">
                  <c:v>185.68136055578867</c:v>
                </c:pt>
                <c:pt idx="217">
                  <c:v>187.27533563731268</c:v>
                </c:pt>
                <c:pt idx="218">
                  <c:v>188.87448878314879</c:v>
                </c:pt>
                <c:pt idx="219">
                  <c:v>190.47879674113722</c:v>
                </c:pt>
                <c:pt idx="220">
                  <c:v>192.08823624811043</c:v>
                </c:pt>
                <c:pt idx="221">
                  <c:v>193.70278403026083</c:v>
                </c:pt>
                <c:pt idx="222">
                  <c:v>195.32241680350691</c:v>
                </c:pt>
                <c:pt idx="223">
                  <c:v>196.9471112738583</c:v>
                </c:pt>
                <c:pt idx="224">
                  <c:v>198.57684413777926</c:v>
                </c:pt>
                <c:pt idx="225">
                  <c:v>200.21159208255105</c:v>
                </c:pt>
                <c:pt idx="226">
                  <c:v>201.85133178663267</c:v>
                </c:pt>
                <c:pt idx="227">
                  <c:v>203.49603992002042</c:v>
                </c:pt>
                <c:pt idx="228">
                  <c:v>205.1456931446059</c:v>
                </c:pt>
                <c:pt idx="229">
                  <c:v>206.80026811453277</c:v>
                </c:pt>
                <c:pt idx="230">
                  <c:v>208.4597414765519</c:v>
                </c:pt>
                <c:pt idx="231">
                  <c:v>210.12408987037523</c:v>
                </c:pt>
                <c:pt idx="232">
                  <c:v>211.79328992902808</c:v>
                </c:pt>
                <c:pt idx="233">
                  <c:v>213.46731827920007</c:v>
                </c:pt>
                <c:pt idx="234">
                  <c:v>215.14615154159446</c:v>
                </c:pt>
                <c:pt idx="235">
                  <c:v>216.82976633127618</c:v>
                </c:pt>
                <c:pt idx="236">
                  <c:v>218.51813925801812</c:v>
                </c:pt>
                <c:pt idx="237">
                  <c:v>220.21124692664611</c:v>
                </c:pt>
                <c:pt idx="238">
                  <c:v>221.90906593738234</c:v>
                </c:pt>
                <c:pt idx="239">
                  <c:v>223.61157288618708</c:v>
                </c:pt>
                <c:pt idx="240">
                  <c:v>225.31874436509912</c:v>
                </c:pt>
                <c:pt idx="241">
                  <c:v>227.03055696257442</c:v>
                </c:pt>
                <c:pt idx="242">
                  <c:v>228.74698726382334</c:v>
                </c:pt>
                <c:pt idx="243">
                  <c:v>230.46801185114617</c:v>
                </c:pt>
                <c:pt idx="244">
                  <c:v>232.19360730426726</c:v>
                </c:pt>
                <c:pt idx="245">
                  <c:v>233.92375020066734</c:v>
                </c:pt>
                <c:pt idx="246">
                  <c:v>235.65841711591429</c:v>
                </c:pt>
                <c:pt idx="247">
                  <c:v>237.39758462399246</c:v>
                </c:pt>
                <c:pt idx="248">
                  <c:v>239.14122929763008</c:v>
                </c:pt>
                <c:pt idx="249">
                  <c:v>240.88932770862525</c:v>
                </c:pt>
                <c:pt idx="250">
                  <c:v>242.64185642817023</c:v>
                </c:pt>
                <c:pt idx="251">
                  <c:v>244.39879013416561</c:v>
                </c:pt>
                <c:pt idx="252">
                  <c:v>246.1600997189361</c:v>
                </c:pt>
                <c:pt idx="253">
                  <c:v>247.92575418464855</c:v>
                </c:pt>
                <c:pt idx="254">
                  <c:v>249.69572253839024</c:v>
                </c:pt>
                <c:pt idx="255">
                  <c:v>251.4699737926141</c:v>
                </c:pt>
                <c:pt idx="256">
                  <c:v>253.24847696558112</c:v>
                </c:pt>
                <c:pt idx="257">
                  <c:v>255.03120108179979</c:v>
                </c:pt>
                <c:pt idx="258">
                  <c:v>256.81811517246263</c:v>
                </c:pt>
                <c:pt idx="259">
                  <c:v>258.60918827587949</c:v>
                </c:pt>
                <c:pt idx="260">
                  <c:v>260.40438943790843</c:v>
                </c:pt>
                <c:pt idx="261">
                  <c:v>262.20368771238293</c:v>
                </c:pt>
                <c:pt idx="262">
                  <c:v>264.00705216153665</c:v>
                </c:pt>
                <c:pt idx="263">
                  <c:v>265.81445185642491</c:v>
                </c:pt>
                <c:pt idx="264">
                  <c:v>267.62585587734321</c:v>
                </c:pt>
                <c:pt idx="265">
                  <c:v>269.44123331424288</c:v>
                </c:pt>
                <c:pt idx="266">
                  <c:v>271.26055326714345</c:v>
                </c:pt>
                <c:pt idx="267">
                  <c:v>273.08378484654213</c:v>
                </c:pt>
                <c:pt idx="268">
                  <c:v>274.91089717382022</c:v>
                </c:pt>
                <c:pt idx="269">
                  <c:v>276.74185938164652</c:v>
                </c:pt>
                <c:pt idx="270">
                  <c:v>278.57664061437765</c:v>
                </c:pt>
                <c:pt idx="271">
                  <c:v>280.41521002845525</c:v>
                </c:pt>
                <c:pt idx="272">
                  <c:v>282.25753679280018</c:v>
                </c:pt>
                <c:pt idx="273">
                  <c:v>284.10359008920358</c:v>
                </c:pt>
                <c:pt idx="274">
                  <c:v>285.95333911271501</c:v>
                </c:pt>
                <c:pt idx="275">
                  <c:v>287.80675307202728</c:v>
                </c:pt>
                <c:pt idx="276">
                  <c:v>289.66380118985836</c:v>
                </c:pt>
                <c:pt idx="277">
                  <c:v>291.52445270333016</c:v>
                </c:pt>
                <c:pt idx="278">
                  <c:v>293.38867686434401</c:v>
                </c:pt>
                <c:pt idx="279">
                  <c:v>295.2564429399535</c:v>
                </c:pt>
                <c:pt idx="280">
                  <c:v>297.12772021273372</c:v>
                </c:pt>
                <c:pt idx="281">
                  <c:v>299.00247798114771</c:v>
                </c:pt>
                <c:pt idx="282">
                  <c:v>300.88068555990958</c:v>
                </c:pt>
                <c:pt idx="283">
                  <c:v>302.7623122803447</c:v>
                </c:pt>
                <c:pt idx="284">
                  <c:v>304.6473274907467</c:v>
                </c:pt>
                <c:pt idx="285">
                  <c:v>306.53570055673129</c:v>
                </c:pt>
                <c:pt idx="286">
                  <c:v>308.4274008615871</c:v>
                </c:pt>
                <c:pt idx="287">
                  <c:v>310.32239780662326</c:v>
                </c:pt>
                <c:pt idx="288">
                  <c:v>312.22066081151388</c:v>
                </c:pt>
                <c:pt idx="289">
                  <c:v>314.12215931463948</c:v>
                </c:pt>
                <c:pt idx="290">
                  <c:v>316.02686277342514</c:v>
                </c:pt>
                <c:pt idx="291">
                  <c:v>317.93474066467581</c:v>
                </c:pt>
                <c:pt idx="292">
                  <c:v>319.84576248490816</c:v>
                </c:pt>
                <c:pt idx="293">
                  <c:v>321.7598977506795</c:v>
                </c:pt>
                <c:pt idx="294">
                  <c:v>323.67711599891351</c:v>
                </c:pt>
                <c:pt idx="295">
                  <c:v>325.59738678722289</c:v>
                </c:pt>
                <c:pt idx="296">
                  <c:v>327.52067969422876</c:v>
                </c:pt>
                <c:pt idx="297">
                  <c:v>329.44696431987722</c:v>
                </c:pt>
                <c:pt idx="298">
                  <c:v>331.3761895080861</c:v>
                </c:pt>
                <c:pt idx="299">
                  <c:v>333.30826258258429</c:v>
                </c:pt>
                <c:pt idx="300">
                  <c:v>335.24307016300037</c:v>
                </c:pt>
                <c:pt idx="301">
                  <c:v>337.1804989688448</c:v>
                </c:pt>
                <c:pt idx="302">
                  <c:v>339.12043582197754</c:v>
                </c:pt>
                <c:pt idx="303">
                  <c:v>341.0627676490372</c:v>
                </c:pt>
                <c:pt idx="304">
                  <c:v>343.0073814838313</c:v>
                </c:pt>
                <c:pt idx="305">
                  <c:v>344.95416446968767</c:v>
                </c:pt>
                <c:pt idx="306">
                  <c:v>346.90300386176767</c:v>
                </c:pt>
                <c:pt idx="307">
                  <c:v>348.85378702934025</c:v>
                </c:pt>
                <c:pt idx="308">
                  <c:v>350.80640145801783</c:v>
                </c:pt>
                <c:pt idx="309">
                  <c:v>352.76073475195312</c:v>
                </c:pt>
                <c:pt idx="310">
                  <c:v>354.71667463599795</c:v>
                </c:pt>
                <c:pt idx="311">
                  <c:v>356.67410895782319</c:v>
                </c:pt>
                <c:pt idx="312">
                  <c:v>358.63292569000038</c:v>
                </c:pt>
                <c:pt idx="313">
                  <c:v>360.59301293204504</c:v>
                </c:pt>
                <c:pt idx="314">
                  <c:v>362.55425891242163</c:v>
                </c:pt>
                <c:pt idx="315">
                  <c:v>364.51655199051027</c:v>
                </c:pt>
                <c:pt idx="316">
                  <c:v>366.47978065853539</c:v>
                </c:pt>
                <c:pt idx="317">
                  <c:v>368.44383354345621</c:v>
                </c:pt>
                <c:pt idx="318">
                  <c:v>370.40859940881944</c:v>
                </c:pt>
                <c:pt idx="319">
                  <c:v>372.37396715657383</c:v>
                </c:pt>
                <c:pt idx="320">
                  <c:v>374.33982582884727</c:v>
                </c:pt>
                <c:pt idx="321">
                  <c:v>376.30607287185467</c:v>
                </c:pt>
                <c:pt idx="322">
                  <c:v>378.27262238995047</c:v>
                </c:pt>
                <c:pt idx="323">
                  <c:v>380.23939686296978</c:v>
                </c:pt>
                <c:pt idx="324">
                  <c:v>382.20631887292132</c:v>
                </c:pt>
                <c:pt idx="325">
                  <c:v>384.17331110472998</c:v>
                </c:pt>
                <c:pt idx="326">
                  <c:v>386.14029634696135</c:v>
                </c:pt>
                <c:pt idx="327">
                  <c:v>388.10719749252803</c:v>
                </c:pt>
                <c:pt idx="328">
                  <c:v>390.07393753937794</c:v>
                </c:pt>
                <c:pt idx="329">
                  <c:v>392.04043959116484</c:v>
                </c:pt>
                <c:pt idx="330">
                  <c:v>394.00662685790115</c:v>
                </c:pt>
                <c:pt idx="331">
                  <c:v>395.9724226565927</c:v>
                </c:pt>
                <c:pt idx="332">
                  <c:v>397.93775041185631</c:v>
                </c:pt>
                <c:pt idx="333">
                  <c:v>399.90253365651938</c:v>
                </c:pt>
                <c:pt idx="334">
                  <c:v>401.86669603220236</c:v>
                </c:pt>
                <c:pt idx="335">
                  <c:v>403.83016128988368</c:v>
                </c:pt>
                <c:pt idx="336">
                  <c:v>405.79285329044751</c:v>
                </c:pt>
                <c:pt idx="337">
                  <c:v>407.75469600521433</c:v>
                </c:pt>
                <c:pt idx="338">
                  <c:v>409.71561351645437</c:v>
                </c:pt>
                <c:pt idx="339">
                  <c:v>411.67553001788417</c:v>
                </c:pt>
                <c:pt idx="340">
                  <c:v>413.63436981514604</c:v>
                </c:pt>
                <c:pt idx="341">
                  <c:v>415.59205732627117</c:v>
                </c:pt>
                <c:pt idx="342">
                  <c:v>417.54851708212544</c:v>
                </c:pt>
                <c:pt idx="343">
                  <c:v>419.50367372683928</c:v>
                </c:pt>
                <c:pt idx="344">
                  <c:v>421.45745201822058</c:v>
                </c:pt>
                <c:pt idx="345">
                  <c:v>423.40977682815139</c:v>
                </c:pt>
                <c:pt idx="346">
                  <c:v>425.36057314296841</c:v>
                </c:pt>
                <c:pt idx="347">
                  <c:v>427.30976606382723</c:v>
                </c:pt>
                <c:pt idx="348">
                  <c:v>429.25728169790193</c:v>
                </c:pt>
                <c:pt idx="349">
                  <c:v>431.20304804816152</c:v>
                </c:pt>
                <c:pt idx="350">
                  <c:v>433.1469941199469</c:v>
                </c:pt>
                <c:pt idx="351">
                  <c:v>435.08904902891459</c:v>
                </c:pt>
                <c:pt idx="352">
                  <c:v>437.02914200127179</c:v>
                </c:pt>
                <c:pt idx="353">
                  <c:v>438.96720237399734</c:v>
                </c:pt>
                <c:pt idx="354">
                  <c:v>440.90315959504875</c:v>
                </c:pt>
                <c:pt idx="355">
                  <c:v>442.83694322355575</c:v>
                </c:pt>
                <c:pt idx="356">
                  <c:v>444.76848292999966</c:v>
                </c:pt>
                <c:pt idx="357">
                  <c:v>446.69770849637956</c:v>
                </c:pt>
                <c:pt idx="358">
                  <c:v>448.62454981636472</c:v>
                </c:pt>
                <c:pt idx="359">
                  <c:v>450.54893689543383</c:v>
                </c:pt>
                <c:pt idx="360">
                  <c:v>452.47081837643316</c:v>
                </c:pt>
                <c:pt idx="361">
                  <c:v>454.39018003335008</c:v>
                </c:pt>
                <c:pt idx="362">
                  <c:v>456.30702618280026</c:v>
                </c:pt>
                <c:pt idx="363">
                  <c:v>458.22136112726434</c:v>
                </c:pt>
                <c:pt idx="364">
                  <c:v>460.13318915514901</c:v>
                </c:pt>
                <c:pt idx="365">
                  <c:v>462.04251454084726</c:v>
                </c:pt>
                <c:pt idx="366">
                  <c:v>463.94934154479887</c:v>
                </c:pt>
                <c:pt idx="367">
                  <c:v>465.8536744135501</c:v>
                </c:pt>
                <c:pt idx="368">
                  <c:v>467.7555173798134</c:v>
                </c:pt>
                <c:pt idx="369">
                  <c:v>469.65487466252665</c:v>
                </c:pt>
                <c:pt idx="370">
                  <c:v>471.55175046691193</c:v>
                </c:pt>
                <c:pt idx="371">
                  <c:v>473.44614898453426</c:v>
                </c:pt>
                <c:pt idx="372">
                  <c:v>475.33807439335988</c:v>
                </c:pt>
                <c:pt idx="373">
                  <c:v>477.2275308578142</c:v>
                </c:pt>
                <c:pt idx="374">
                  <c:v>479.11452252883942</c:v>
                </c:pt>
                <c:pt idx="375">
                  <c:v>480.99905354395185</c:v>
                </c:pt>
                <c:pt idx="376">
                  <c:v>482.88112802729916</c:v>
                </c:pt>
                <c:pt idx="377">
                  <c:v>484.76075008971679</c:v>
                </c:pt>
                <c:pt idx="378">
                  <c:v>486.63792382878466</c:v>
                </c:pt>
                <c:pt idx="379">
                  <c:v>488.51265332888318</c:v>
                </c:pt>
                <c:pt idx="380">
                  <c:v>490.38494266124894</c:v>
                </c:pt>
                <c:pt idx="381">
                  <c:v>492.2547958840305</c:v>
                </c:pt>
                <c:pt idx="382">
                  <c:v>494.12221704234344</c:v>
                </c:pt>
                <c:pt idx="383">
                  <c:v>495.98721016832525</c:v>
                </c:pt>
                <c:pt idx="384">
                  <c:v>497.84977928119014</c:v>
                </c:pt>
                <c:pt idx="385">
                  <c:v>499.70992838728318</c:v>
                </c:pt>
                <c:pt idx="386">
                  <c:v>501.56766148013463</c:v>
                </c:pt>
                <c:pt idx="387">
                  <c:v>503.42298254051337</c:v>
                </c:pt>
                <c:pt idx="388">
                  <c:v>505.27589553648062</c:v>
                </c:pt>
                <c:pt idx="389">
                  <c:v>507.12640442344309</c:v>
                </c:pt>
                <c:pt idx="390">
                  <c:v>508.9745131442059</c:v>
                </c:pt>
                <c:pt idx="391">
                  <c:v>510.82022562902512</c:v>
                </c:pt>
                <c:pt idx="392">
                  <c:v>512.66354579566018</c:v>
                </c:pt>
                <c:pt idx="393">
                  <c:v>514.50447754942616</c:v>
                </c:pt>
                <c:pt idx="394">
                  <c:v>516.34302478324514</c:v>
                </c:pt>
                <c:pt idx="395">
                  <c:v>518.1791913776982</c:v>
                </c:pt>
                <c:pt idx="396">
                  <c:v>520.01298120107629</c:v>
                </c:pt>
                <c:pt idx="397">
                  <c:v>521.84439810943161</c:v>
                </c:pt>
                <c:pt idx="398">
                  <c:v>523.67344594662791</c:v>
                </c:pt>
                <c:pt idx="399">
                  <c:v>525.50012854439126</c:v>
                </c:pt>
                <c:pt idx="400">
                  <c:v>527.32444972236021</c:v>
                </c:pt>
                <c:pt idx="401">
                  <c:v>545.43807836727581</c:v>
                </c:pt>
                <c:pt idx="402">
                  <c:v>563.31801671721007</c:v>
                </c:pt>
                <c:pt idx="403">
                  <c:v>580.96796810169803</c:v>
                </c:pt>
                <c:pt idx="404">
                  <c:v>598.39152148103028</c:v>
                </c:pt>
                <c:pt idx="405">
                  <c:v>615.59215602771917</c:v>
                </c:pt>
                <c:pt idx="406">
                  <c:v>632.57324547682322</c:v>
                </c:pt>
                <c:pt idx="407">
                  <c:v>649.33806225903595</c:v>
                </c:pt>
                <c:pt idx="408">
                  <c:v>665.88978142947497</c:v>
                </c:pt>
                <c:pt idx="409">
                  <c:v>682.2314844042121</c:v>
                </c:pt>
                <c:pt idx="410">
                  <c:v>698.36616251576254</c:v>
                </c:pt>
                <c:pt idx="411">
                  <c:v>714.29672039798982</c:v>
                </c:pt>
                <c:pt idx="412">
                  <c:v>730.02597921018184</c:v>
                </c:pt>
                <c:pt idx="413">
                  <c:v>745.55667970940715</c:v>
                </c:pt>
                <c:pt idx="414">
                  <c:v>760.89148517965725</c:v>
                </c:pt>
                <c:pt idx="415">
                  <c:v>776.0329842257313</c:v>
                </c:pt>
                <c:pt idx="416">
                  <c:v>790.98369343930221</c:v>
                </c:pt>
                <c:pt idx="417">
                  <c:v>805.74605994412923</c:v>
                </c:pt>
                <c:pt idx="418">
                  <c:v>820.32246382694041</c:v>
                </c:pt>
                <c:pt idx="419">
                  <c:v>834.71522046009909</c:v>
                </c:pt>
                <c:pt idx="420">
                  <c:v>848.92658272178778</c:v>
                </c:pt>
                <c:pt idx="421">
                  <c:v>862.95874311909051</c:v>
                </c:pt>
                <c:pt idx="422">
                  <c:v>876.81383581902401</c:v>
                </c:pt>
                <c:pt idx="423">
                  <c:v>890.49393859226484</c:v>
                </c:pt>
                <c:pt idx="424">
                  <c:v>904.00107467403234</c:v>
                </c:pt>
                <c:pt idx="425">
                  <c:v>917.33721454632359</c:v>
                </c:pt>
                <c:pt idx="426">
                  <c:v>930.50427764544861</c:v>
                </c:pt>
                <c:pt idx="427">
                  <c:v>943.50413399858189</c:v>
                </c:pt>
                <c:pt idx="428">
                  <c:v>956.33860579283362</c:v>
                </c:pt>
                <c:pt idx="429">
                  <c:v>969.00946888013937</c:v>
                </c:pt>
                <c:pt idx="430">
                  <c:v>981.51845422108147</c:v>
                </c:pt>
                <c:pt idx="431">
                  <c:v>993.86724927057753</c:v>
                </c:pt>
                <c:pt idx="432">
                  <c:v>1006.0574993082076</c:v>
                </c:pt>
                <c:pt idx="433">
                  <c:v>1018.0908087157979</c:v>
                </c:pt>
                <c:pt idx="434">
                  <c:v>1029.9687422047332</c:v>
                </c:pt>
                <c:pt idx="435">
                  <c:v>1041.6928259953349</c:v>
                </c:pt>
                <c:pt idx="436">
                  <c:v>1053.2645489505169</c:v>
                </c:pt>
                <c:pt idx="437">
                  <c:v>1064.6853636658079</c:v>
                </c:pt>
                <c:pt idx="438">
                  <c:v>1075.9566875177225</c:v>
                </c:pt>
                <c:pt idx="439">
                  <c:v>1087.0799036723531</c:v>
                </c:pt>
                <c:pt idx="440">
                  <c:v>1098.0563620559594</c:v>
                </c:pt>
                <c:pt idx="441">
                  <c:v>1108.8873802892376</c:v>
                </c:pt>
                <c:pt idx="442">
                  <c:v>1119.5742445868666</c:v>
                </c:pt>
                <c:pt idx="443">
                  <c:v>1130.1182106238407</c:v>
                </c:pt>
                <c:pt idx="444">
                  <c:v>1140.5205043700298</c:v>
                </c:pt>
                <c:pt idx="445">
                  <c:v>1150.7823228943264</c:v>
                </c:pt>
                <c:pt idx="446">
                  <c:v>1160.9048351396739</c:v>
                </c:pt>
                <c:pt idx="447">
                  <c:v>1170.8891826702093</c:v>
                </c:pt>
                <c:pt idx="448">
                  <c:v>1180.7364803916842</c:v>
                </c:pt>
                <c:pt idx="449">
                  <c:v>1190.4478172462782</c:v>
                </c:pt>
                <c:pt idx="450">
                  <c:v>1200.0242568828603</c:v>
                </c:pt>
                <c:pt idx="451">
                  <c:v>1209.4668383037028</c:v>
                </c:pt>
                <c:pt idx="452">
                  <c:v>1218.7765764886051</c:v>
                </c:pt>
                <c:pt idx="453">
                  <c:v>1227.9544629973373</c:v>
                </c:pt>
                <c:pt idx="454">
                  <c:v>1237.0014665512708</c:v>
                </c:pt>
                <c:pt idx="455">
                  <c:v>1245.9185335950233</c:v>
                </c:pt>
                <c:pt idx="456">
                  <c:v>1254.7065888389029</c:v>
                </c:pt>
                <c:pt idx="457">
                  <c:v>1263.366535782905</c:v>
                </c:pt>
                <c:pt idx="458">
                  <c:v>1271.8992572229745</c:v>
                </c:pt>
                <c:pt idx="459">
                  <c:v>1280.3056157402184</c:v>
                </c:pt>
                <c:pt idx="460">
                  <c:v>1288.586454173718</c:v>
                </c:pt>
                <c:pt idx="461">
                  <c:v>1296.7425960775645</c:v>
                </c:pt>
                <c:pt idx="462">
                  <c:v>1304.7748461627093</c:v>
                </c:pt>
                <c:pt idx="463">
                  <c:v>1312.6839907241972</c:v>
                </c:pt>
                <c:pt idx="464">
                  <c:v>1320.470798054324</c:v>
                </c:pt>
                <c:pt idx="465">
                  <c:v>1328.1360188422348</c:v>
                </c:pt>
                <c:pt idx="466">
                  <c:v>1335.6803865604588</c:v>
                </c:pt>
                <c:pt idx="467">
                  <c:v>1343.1046178388526</c:v>
                </c:pt>
                <c:pt idx="468">
                  <c:v>1350.4094128264042</c:v>
                </c:pt>
                <c:pt idx="469">
                  <c:v>1357.5954555413316</c:v>
                </c:pt>
                <c:pt idx="470">
                  <c:v>1364.6634142098881</c:v>
                </c:pt>
                <c:pt idx="471">
                  <c:v>1371.6139415942719</c:v>
                </c:pt>
                <c:pt idx="472">
                  <c:v>1378.4476753100193</c:v>
                </c:pt>
                <c:pt idx="473">
                  <c:v>1385.1652381332449</c:v>
                </c:pt>
                <c:pt idx="474">
                  <c:v>1391.7672382980757</c:v>
                </c:pt>
                <c:pt idx="475">
                  <c:v>1398.2542697846154</c:v>
                </c:pt>
                <c:pt idx="476">
                  <c:v>1404.6269125977569</c:v>
                </c:pt>
                <c:pt idx="477">
                  <c:v>1410.8857330371502</c:v>
                </c:pt>
                <c:pt idx="478">
                  <c:v>1417.0312839586193</c:v>
                </c:pt>
                <c:pt idx="479">
                  <c:v>1423.0641050273132</c:v>
                </c:pt>
                <c:pt idx="480">
                  <c:v>1428.9847229628592</c:v>
                </c:pt>
                <c:pt idx="481">
                  <c:v>1434.7936517767803</c:v>
                </c:pt>
                <c:pt idx="482">
                  <c:v>1440.4913930024272</c:v>
                </c:pt>
                <c:pt idx="483">
                  <c:v>1446.0784359176666</c:v>
                </c:pt>
                <c:pt idx="484">
                  <c:v>1451.5552577605542</c:v>
                </c:pt>
                <c:pt idx="485">
                  <c:v>1456.9223239382197</c:v>
                </c:pt>
                <c:pt idx="486">
                  <c:v>1462.1800882291759</c:v>
                </c:pt>
                <c:pt idx="487">
                  <c:v>1467.3289929792591</c:v>
                </c:pt>
                <c:pt idx="488">
                  <c:v>1472.3694692914037</c:v>
                </c:pt>
                <c:pt idx="489">
                  <c:v>1477.3019372094404</c:v>
                </c:pt>
                <c:pt idx="490">
                  <c:v>1482.12680589611</c:v>
                </c:pt>
                <c:pt idx="491">
                  <c:v>1486.8444738054689</c:v>
                </c:pt>
                <c:pt idx="492">
                  <c:v>1491.4553288498685</c:v>
                </c:pt>
                <c:pt idx="493">
                  <c:v>1495.9597485616762</c:v>
                </c:pt>
                <c:pt idx="494">
                  <c:v>1500.3581002499068</c:v>
                </c:pt>
                <c:pt idx="495">
                  <c:v>1504.6507411519306</c:v>
                </c:pt>
                <c:pt idx="496">
                  <c:v>1508.8380185804156</c:v>
                </c:pt>
                <c:pt idx="497">
                  <c:v>1512.9202700656681</c:v>
                </c:pt>
                <c:pt idx="498">
                  <c:v>1516.8978234935262</c:v>
                </c:pt>
                <c:pt idx="499">
                  <c:v>1520.7709972389648</c:v>
                </c:pt>
                <c:pt idx="500">
                  <c:v>1524.5401002955725</c:v>
                </c:pt>
                <c:pt idx="501">
                  <c:v>1528.2054324010578</c:v>
                </c:pt>
                <c:pt idx="502">
                  <c:v>1531.7672841589506</c:v>
                </c:pt>
                <c:pt idx="503">
                  <c:v>1535.2259371566652</c:v>
                </c:pt>
                <c:pt idx="504">
                  <c:v>1538.5816640801013</c:v>
                </c:pt>
                <c:pt idx="505">
                  <c:v>1541.8347288249654</c:v>
                </c:pt>
                <c:pt idx="506">
                  <c:v>1544.9853866050082</c:v>
                </c:pt>
                <c:pt idx="507">
                  <c:v>1548.0338840573879</c:v>
                </c:pt>
                <c:pt idx="508">
                  <c:v>1550.980459345386</c:v>
                </c:pt>
                <c:pt idx="509">
                  <c:v>1553.8253422587272</c:v>
                </c:pt>
                <c:pt idx="510">
                  <c:v>1556.5687543117826</c:v>
                </c:pt>
                <c:pt idx="511">
                  <c:v>1559.2109088399668</c:v>
                </c:pt>
                <c:pt idx="512">
                  <c:v>1561.7520110946868</c:v>
                </c:pt>
                <c:pt idx="513">
                  <c:v>1564.1922583372518</c:v>
                </c:pt>
                <c:pt idx="514">
                  <c:v>1566.5318399322139</c:v>
                </c:pt>
                <c:pt idx="515">
                  <c:v>1568.7709374406902</c:v>
                </c:pt>
                <c:pt idx="516">
                  <c:v>1570.9097247143147</c:v>
                </c:pt>
                <c:pt idx="517">
                  <c:v>1572.9483679905788</c:v>
                </c:pt>
                <c:pt idx="518">
                  <c:v>1574.8870259904668</c:v>
                </c:pt>
                <c:pt idx="519">
                  <c:v>1576.7258500194598</c:v>
                </c:pt>
                <c:pt idx="520">
                  <c:v>1578.4649840731915</c:v>
                </c:pt>
                <c:pt idx="521">
                  <c:v>1580.1045649492842</c:v>
                </c:pt>
                <c:pt idx="522">
                  <c:v>1581.6447223671933</c:v>
                </c:pt>
                <c:pt idx="523">
                  <c:v>1583.0855790982318</c:v>
                </c:pt>
                <c:pt idx="524">
                  <c:v>1584.4272511083532</c:v>
                </c:pt>
                <c:pt idx="525">
                  <c:v>1585.6698477167274</c:v>
                </c:pt>
                <c:pt idx="526">
                  <c:v>1586.8134717736511</c:v>
                </c:pt>
                <c:pt idx="527">
                  <c:v>1587.8582198618694</c:v>
                </c:pt>
                <c:pt idx="528">
                  <c:v>1588.8041825259133</c:v>
                </c:pt>
                <c:pt idx="529">
                  <c:v>1589.6514445345299</c:v>
                </c:pt>
                <c:pt idx="530">
                  <c:v>1590.400085181604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BC-E84B-8A2E-77A3E8DE6A60}"/>
            </c:ext>
          </c:extLst>
        </c:ser>
        <c:ser>
          <c:idx val="6"/>
          <c:order val="6"/>
          <c:tx>
            <c:strRef>
              <c:f>Trajecto!$B$106</c:f>
              <c:strCache>
                <c:ptCount val="1"/>
                <c:pt idx="0">
                  <c:v>Phase ascendante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Trajecto!$B$157</c:f>
              <c:numCache>
                <c:formatCode>General</c:formatCode>
                <c:ptCount val="1"/>
                <c:pt idx="0">
                  <c:v>4.25</c:v>
                </c:pt>
              </c:numCache>
            </c:numRef>
          </c:xVal>
          <c:yVal>
            <c:numRef>
              <c:f>Trajecto!$C$155</c:f>
              <c:numCache>
                <c:formatCode>0</c:formatCode>
                <c:ptCount val="1"/>
                <c:pt idx="0">
                  <c:v>795.20004259080201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BC-E84B-8A2E-77A3E8DE6A60}"/>
            </c:ext>
          </c:extLst>
        </c:ser>
        <c:ser>
          <c:idx val="7"/>
          <c:order val="7"/>
          <c:tx>
            <c:strRef>
              <c:f>Trajecto!$B$107</c:f>
              <c:strCache>
                <c:ptCount val="1"/>
                <c:pt idx="0">
                  <c:v>Descente balistique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 b="1" i="0" u="none" strike="noStrike" baseline="0">
                    <a:solidFill>
                      <a:srgbClr val="808080"/>
                    </a:solidFill>
                    <a:latin typeface="Arial"/>
                    <a:ea typeface="Arial"/>
                    <a:cs typeface="Arial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Trajecto!$B$158</c:f>
              <c:numCache>
                <c:formatCode>General</c:formatCode>
                <c:ptCount val="1"/>
                <c:pt idx="0">
                  <c:v>27.700000000000081</c:v>
                </c:pt>
              </c:numCache>
            </c:numRef>
          </c:xVal>
          <c:yVal>
            <c:numRef>
              <c:f>Trajecto!$C$156</c:f>
              <c:numCache>
                <c:formatCode>0</c:formatCode>
                <c:ptCount val="1"/>
                <c:pt idx="0">
                  <c:v>796.44243283868036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6BC-E84B-8A2E-77A3E8DE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430064"/>
        <c:axId val="1"/>
      </c:scatterChart>
      <c:valAx>
        <c:axId val="1806430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Trajecto!$B$112</c:f>
              <c:strCache>
                <c:ptCount val="1"/>
                <c:pt idx="0">
                  <c:v>Temps [s]</c:v>
                </c:pt>
              </c:strCache>
            </c:strRef>
          </c:tx>
          <c:layout>
            <c:manualLayout>
              <c:xMode val="edge"/>
              <c:yMode val="edge"/>
              <c:x val="0.60555551848391831"/>
              <c:y val="0.85139305699995049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sz="800" b="1" i="0" u="none" strike="noStrike" baseline="0">
                  <a:solidFill>
                    <a:srgbClr val="0000FF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Altitude z [m]</a:t>
                </a:r>
              </a:p>
            </c:rich>
          </c:tx>
          <c:layout>
            <c:manualLayout>
              <c:xMode val="edge"/>
              <c:yMode val="edge"/>
              <c:x val="9.0000333644735087E-2"/>
              <c:y val="6.8111391736410301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430064"/>
        <c:crosses val="autoZero"/>
        <c:crossBetween val="midCat"/>
      </c:valAx>
      <c:spPr>
        <a:gradFill rotWithShape="0">
          <a:gsLst>
            <a:gs pos="0">
              <a:srgbClr val="99CCFF"/>
            </a:gs>
            <a:gs pos="100000">
              <a:srgbClr val="FFFFFF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Forces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4183243282920064"/>
        </c:manualLayout>
      </c:layout>
      <c:scatterChart>
        <c:scatterStyle val="lineMarker"/>
        <c:varyColors val="0"/>
        <c:ser>
          <c:idx val="1"/>
          <c:order val="0"/>
          <c:tx>
            <c:strRef>
              <c:f>Courbes!$B$134</c:f>
              <c:strCache>
                <c:ptCount val="1"/>
                <c:pt idx="0">
                  <c:v>Poussée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Calculs!$Q$4:$Q$1004</c:f>
              <c:numCache>
                <c:formatCode>0.00</c:formatCode>
                <c:ptCount val="1001"/>
                <c:pt idx="0">
                  <c:v>0</c:v>
                </c:pt>
                <c:pt idx="1">
                  <c:v>89.3</c:v>
                </c:pt>
                <c:pt idx="2">
                  <c:v>267.89999999999998</c:v>
                </c:pt>
                <c:pt idx="3">
                  <c:v>446.49999999999994</c:v>
                </c:pt>
                <c:pt idx="4">
                  <c:v>625.1</c:v>
                </c:pt>
                <c:pt idx="5">
                  <c:v>803.7</c:v>
                </c:pt>
                <c:pt idx="6">
                  <c:v>891.94444444444446</c:v>
                </c:pt>
                <c:pt idx="7">
                  <c:v>889.83333333333337</c:v>
                </c:pt>
                <c:pt idx="8">
                  <c:v>887.72222222222217</c:v>
                </c:pt>
                <c:pt idx="9">
                  <c:v>885.61111111111109</c:v>
                </c:pt>
                <c:pt idx="10">
                  <c:v>883.5</c:v>
                </c:pt>
                <c:pt idx="11">
                  <c:v>881.38888888888891</c:v>
                </c:pt>
                <c:pt idx="12">
                  <c:v>879.27777777777783</c:v>
                </c:pt>
                <c:pt idx="13">
                  <c:v>877.16666666666663</c:v>
                </c:pt>
                <c:pt idx="14">
                  <c:v>875.05555555555554</c:v>
                </c:pt>
                <c:pt idx="15">
                  <c:v>872.94444444444446</c:v>
                </c:pt>
                <c:pt idx="16">
                  <c:v>870.83333333333337</c:v>
                </c:pt>
                <c:pt idx="17">
                  <c:v>868.72222222222217</c:v>
                </c:pt>
                <c:pt idx="18">
                  <c:v>866.61111111111109</c:v>
                </c:pt>
                <c:pt idx="19">
                  <c:v>864.5</c:v>
                </c:pt>
                <c:pt idx="20">
                  <c:v>862.38888888888891</c:v>
                </c:pt>
                <c:pt idx="21">
                  <c:v>860.27777777777783</c:v>
                </c:pt>
                <c:pt idx="22">
                  <c:v>858.16666666666663</c:v>
                </c:pt>
                <c:pt idx="23">
                  <c:v>856.05555555555554</c:v>
                </c:pt>
                <c:pt idx="24">
                  <c:v>853.94444444444446</c:v>
                </c:pt>
                <c:pt idx="25">
                  <c:v>851.83333333333337</c:v>
                </c:pt>
                <c:pt idx="26">
                  <c:v>849.72222222222217</c:v>
                </c:pt>
                <c:pt idx="27">
                  <c:v>847.61111111111109</c:v>
                </c:pt>
                <c:pt idx="28">
                  <c:v>845.5</c:v>
                </c:pt>
                <c:pt idx="29">
                  <c:v>843.38888888888891</c:v>
                </c:pt>
                <c:pt idx="30">
                  <c:v>841.27777777777771</c:v>
                </c:pt>
                <c:pt idx="31">
                  <c:v>839.16666666666663</c:v>
                </c:pt>
                <c:pt idx="32">
                  <c:v>837.05555555555554</c:v>
                </c:pt>
                <c:pt idx="33">
                  <c:v>834.94444444444446</c:v>
                </c:pt>
                <c:pt idx="34">
                  <c:v>832.83333333333326</c:v>
                </c:pt>
                <c:pt idx="35">
                  <c:v>830.72222222222217</c:v>
                </c:pt>
                <c:pt idx="36">
                  <c:v>828.61111111111109</c:v>
                </c:pt>
                <c:pt idx="37">
                  <c:v>826.5</c:v>
                </c:pt>
                <c:pt idx="38">
                  <c:v>824.38888888888891</c:v>
                </c:pt>
                <c:pt idx="39">
                  <c:v>822.27777777777771</c:v>
                </c:pt>
                <c:pt idx="40">
                  <c:v>820.16666666666663</c:v>
                </c:pt>
                <c:pt idx="41">
                  <c:v>818.05555555555554</c:v>
                </c:pt>
                <c:pt idx="42">
                  <c:v>815.94444444444434</c:v>
                </c:pt>
                <c:pt idx="43">
                  <c:v>813.83333333333326</c:v>
                </c:pt>
                <c:pt idx="44">
                  <c:v>811.72222222222217</c:v>
                </c:pt>
                <c:pt idx="45">
                  <c:v>809.61111111111109</c:v>
                </c:pt>
                <c:pt idx="46">
                  <c:v>807.5</c:v>
                </c:pt>
                <c:pt idx="47">
                  <c:v>805.3888888888888</c:v>
                </c:pt>
                <c:pt idx="48">
                  <c:v>803.27777777777771</c:v>
                </c:pt>
                <c:pt idx="49">
                  <c:v>801.16666666666663</c:v>
                </c:pt>
                <c:pt idx="50">
                  <c:v>799.05555555555554</c:v>
                </c:pt>
                <c:pt idx="51">
                  <c:v>797.41</c:v>
                </c:pt>
                <c:pt idx="52">
                  <c:v>796.23</c:v>
                </c:pt>
                <c:pt idx="53">
                  <c:v>795.05</c:v>
                </c:pt>
                <c:pt idx="54">
                  <c:v>793.87</c:v>
                </c:pt>
                <c:pt idx="55">
                  <c:v>792.68999999999994</c:v>
                </c:pt>
                <c:pt idx="56">
                  <c:v>791.51</c:v>
                </c:pt>
                <c:pt idx="57">
                  <c:v>790.32999999999993</c:v>
                </c:pt>
                <c:pt idx="58">
                  <c:v>789.15</c:v>
                </c:pt>
                <c:pt idx="59">
                  <c:v>787.96999999999991</c:v>
                </c:pt>
                <c:pt idx="60">
                  <c:v>786.79</c:v>
                </c:pt>
                <c:pt idx="61">
                  <c:v>785.61</c:v>
                </c:pt>
                <c:pt idx="62">
                  <c:v>784.43</c:v>
                </c:pt>
                <c:pt idx="63">
                  <c:v>783.25</c:v>
                </c:pt>
                <c:pt idx="64">
                  <c:v>782.06999999999994</c:v>
                </c:pt>
                <c:pt idx="65">
                  <c:v>780.89</c:v>
                </c:pt>
                <c:pt idx="66">
                  <c:v>779.70999999999992</c:v>
                </c:pt>
                <c:pt idx="67">
                  <c:v>778.53</c:v>
                </c:pt>
                <c:pt idx="68">
                  <c:v>777.34999999999991</c:v>
                </c:pt>
                <c:pt idx="69">
                  <c:v>776.17</c:v>
                </c:pt>
                <c:pt idx="70">
                  <c:v>774.99</c:v>
                </c:pt>
                <c:pt idx="71">
                  <c:v>773.81</c:v>
                </c:pt>
                <c:pt idx="72">
                  <c:v>772.63</c:v>
                </c:pt>
                <c:pt idx="73">
                  <c:v>771.44999999999993</c:v>
                </c:pt>
                <c:pt idx="74">
                  <c:v>770.27</c:v>
                </c:pt>
                <c:pt idx="75">
                  <c:v>769.08999999999992</c:v>
                </c:pt>
                <c:pt idx="76">
                  <c:v>767.91</c:v>
                </c:pt>
                <c:pt idx="77">
                  <c:v>766.7299999999999</c:v>
                </c:pt>
                <c:pt idx="78">
                  <c:v>765.55</c:v>
                </c:pt>
                <c:pt idx="79">
                  <c:v>764.36999999999989</c:v>
                </c:pt>
                <c:pt idx="80">
                  <c:v>763.18999999999994</c:v>
                </c:pt>
                <c:pt idx="81">
                  <c:v>762.01</c:v>
                </c:pt>
                <c:pt idx="82">
                  <c:v>760.82999999999993</c:v>
                </c:pt>
                <c:pt idx="83">
                  <c:v>759.65</c:v>
                </c:pt>
                <c:pt idx="84">
                  <c:v>758.46999999999991</c:v>
                </c:pt>
                <c:pt idx="85">
                  <c:v>757.29</c:v>
                </c:pt>
                <c:pt idx="86">
                  <c:v>756.1099999999999</c:v>
                </c:pt>
                <c:pt idx="87">
                  <c:v>754.93</c:v>
                </c:pt>
                <c:pt idx="88">
                  <c:v>753.74999999999989</c:v>
                </c:pt>
                <c:pt idx="89">
                  <c:v>752.56999999999994</c:v>
                </c:pt>
                <c:pt idx="90">
                  <c:v>751.38999999999987</c:v>
                </c:pt>
                <c:pt idx="91">
                  <c:v>750.20999999999992</c:v>
                </c:pt>
                <c:pt idx="92">
                  <c:v>749.03</c:v>
                </c:pt>
                <c:pt idx="93">
                  <c:v>747.84999999999991</c:v>
                </c:pt>
                <c:pt idx="94">
                  <c:v>746.67</c:v>
                </c:pt>
                <c:pt idx="95">
                  <c:v>745.4899999999999</c:v>
                </c:pt>
                <c:pt idx="96">
                  <c:v>744.31</c:v>
                </c:pt>
                <c:pt idx="97">
                  <c:v>743.12999999999988</c:v>
                </c:pt>
                <c:pt idx="98">
                  <c:v>741.94999999999993</c:v>
                </c:pt>
                <c:pt idx="99">
                  <c:v>740.77</c:v>
                </c:pt>
                <c:pt idx="100">
                  <c:v>739.58999999999992</c:v>
                </c:pt>
                <c:pt idx="101">
                  <c:v>738.19999999999982</c:v>
                </c:pt>
                <c:pt idx="102">
                  <c:v>736.59999999999991</c:v>
                </c:pt>
                <c:pt idx="103">
                  <c:v>734.99999999999989</c:v>
                </c:pt>
                <c:pt idx="104">
                  <c:v>733.39999999999986</c:v>
                </c:pt>
                <c:pt idx="105">
                  <c:v>731.79999999999984</c:v>
                </c:pt>
                <c:pt idx="106">
                  <c:v>730.19999999999982</c:v>
                </c:pt>
                <c:pt idx="107">
                  <c:v>728.59999999999991</c:v>
                </c:pt>
                <c:pt idx="108">
                  <c:v>726.99999999999989</c:v>
                </c:pt>
                <c:pt idx="109">
                  <c:v>725.39999999999986</c:v>
                </c:pt>
                <c:pt idx="110">
                  <c:v>723.79999999999984</c:v>
                </c:pt>
                <c:pt idx="111">
                  <c:v>722.19999999999982</c:v>
                </c:pt>
                <c:pt idx="112">
                  <c:v>720.59999999999991</c:v>
                </c:pt>
                <c:pt idx="113">
                  <c:v>718.99999999999989</c:v>
                </c:pt>
                <c:pt idx="114">
                  <c:v>717.39999999999986</c:v>
                </c:pt>
                <c:pt idx="115">
                  <c:v>715.79999999999984</c:v>
                </c:pt>
                <c:pt idx="116">
                  <c:v>714.19999999999982</c:v>
                </c:pt>
                <c:pt idx="117">
                  <c:v>712.59999999999991</c:v>
                </c:pt>
                <c:pt idx="118">
                  <c:v>710.99999999999989</c:v>
                </c:pt>
                <c:pt idx="119">
                  <c:v>709.39999999999986</c:v>
                </c:pt>
                <c:pt idx="120">
                  <c:v>707.79999999999984</c:v>
                </c:pt>
                <c:pt idx="121">
                  <c:v>706.19999999999982</c:v>
                </c:pt>
                <c:pt idx="122">
                  <c:v>704.5999999999998</c:v>
                </c:pt>
                <c:pt idx="123">
                  <c:v>702.99999999999989</c:v>
                </c:pt>
                <c:pt idx="124">
                  <c:v>701.39999999999986</c:v>
                </c:pt>
                <c:pt idx="125">
                  <c:v>699.79999999999984</c:v>
                </c:pt>
                <c:pt idx="126">
                  <c:v>698.19999999999982</c:v>
                </c:pt>
                <c:pt idx="127">
                  <c:v>696.5999999999998</c:v>
                </c:pt>
                <c:pt idx="128">
                  <c:v>694.99999999999989</c:v>
                </c:pt>
                <c:pt idx="129">
                  <c:v>693.39999999999986</c:v>
                </c:pt>
                <c:pt idx="130">
                  <c:v>691.79999999999984</c:v>
                </c:pt>
                <c:pt idx="131">
                  <c:v>690.19999999999982</c:v>
                </c:pt>
                <c:pt idx="132">
                  <c:v>688.5999999999998</c:v>
                </c:pt>
                <c:pt idx="133">
                  <c:v>686.99999999999977</c:v>
                </c:pt>
                <c:pt idx="134">
                  <c:v>685.39999999999986</c:v>
                </c:pt>
                <c:pt idx="135">
                  <c:v>683.79999999999984</c:v>
                </c:pt>
                <c:pt idx="136">
                  <c:v>682.19999999999982</c:v>
                </c:pt>
                <c:pt idx="137">
                  <c:v>680.5999999999998</c:v>
                </c:pt>
                <c:pt idx="138">
                  <c:v>678.99999999999977</c:v>
                </c:pt>
                <c:pt idx="139">
                  <c:v>677.39999999999986</c:v>
                </c:pt>
                <c:pt idx="140">
                  <c:v>675.79999999999984</c:v>
                </c:pt>
                <c:pt idx="141">
                  <c:v>674.19999999999982</c:v>
                </c:pt>
                <c:pt idx="142">
                  <c:v>672.5999999999998</c:v>
                </c:pt>
                <c:pt idx="143">
                  <c:v>670.99999999999977</c:v>
                </c:pt>
                <c:pt idx="144">
                  <c:v>669.39999999999986</c:v>
                </c:pt>
                <c:pt idx="145">
                  <c:v>667.79999999999984</c:v>
                </c:pt>
                <c:pt idx="146">
                  <c:v>666.19999999999982</c:v>
                </c:pt>
                <c:pt idx="147">
                  <c:v>664.5999999999998</c:v>
                </c:pt>
                <c:pt idx="148">
                  <c:v>662.99999999999977</c:v>
                </c:pt>
                <c:pt idx="149">
                  <c:v>661.39999999999986</c:v>
                </c:pt>
                <c:pt idx="150">
                  <c:v>659.79999999999984</c:v>
                </c:pt>
                <c:pt idx="151">
                  <c:v>658.26999999999987</c:v>
                </c:pt>
                <c:pt idx="152">
                  <c:v>656.80999999999983</c:v>
                </c:pt>
                <c:pt idx="153">
                  <c:v>655.3499999999998</c:v>
                </c:pt>
                <c:pt idx="154">
                  <c:v>653.88999999999987</c:v>
                </c:pt>
                <c:pt idx="155">
                  <c:v>652.42999999999984</c:v>
                </c:pt>
                <c:pt idx="156">
                  <c:v>650.9699999999998</c:v>
                </c:pt>
                <c:pt idx="157">
                  <c:v>649.50999999999976</c:v>
                </c:pt>
                <c:pt idx="158">
                  <c:v>648.04999999999984</c:v>
                </c:pt>
                <c:pt idx="159">
                  <c:v>646.5899999999998</c:v>
                </c:pt>
                <c:pt idx="160">
                  <c:v>645.12999999999977</c:v>
                </c:pt>
                <c:pt idx="161">
                  <c:v>643.66999999999985</c:v>
                </c:pt>
                <c:pt idx="162">
                  <c:v>642.20999999999981</c:v>
                </c:pt>
                <c:pt idx="163">
                  <c:v>640.74999999999977</c:v>
                </c:pt>
                <c:pt idx="164">
                  <c:v>639.28999999999985</c:v>
                </c:pt>
                <c:pt idx="165">
                  <c:v>637.82999999999981</c:v>
                </c:pt>
                <c:pt idx="166">
                  <c:v>636.36999999999978</c:v>
                </c:pt>
                <c:pt idx="167">
                  <c:v>634.90999999999985</c:v>
                </c:pt>
                <c:pt idx="168">
                  <c:v>633.44999999999982</c:v>
                </c:pt>
                <c:pt idx="169">
                  <c:v>631.98999999999978</c:v>
                </c:pt>
                <c:pt idx="170">
                  <c:v>630.52999999999975</c:v>
                </c:pt>
                <c:pt idx="171">
                  <c:v>629.06999999999982</c:v>
                </c:pt>
                <c:pt idx="172">
                  <c:v>627.60999999999979</c:v>
                </c:pt>
                <c:pt idx="173">
                  <c:v>626.14999999999975</c:v>
                </c:pt>
                <c:pt idx="174">
                  <c:v>624.68999999999983</c:v>
                </c:pt>
                <c:pt idx="175">
                  <c:v>623.22999999999979</c:v>
                </c:pt>
                <c:pt idx="176">
                  <c:v>621.76999999999975</c:v>
                </c:pt>
                <c:pt idx="177">
                  <c:v>620.30999999999983</c:v>
                </c:pt>
                <c:pt idx="178">
                  <c:v>618.8499999999998</c:v>
                </c:pt>
                <c:pt idx="179">
                  <c:v>617.38999999999976</c:v>
                </c:pt>
                <c:pt idx="180">
                  <c:v>615.92999999999984</c:v>
                </c:pt>
                <c:pt idx="181">
                  <c:v>614.4699999999998</c:v>
                </c:pt>
                <c:pt idx="182">
                  <c:v>613.00999999999976</c:v>
                </c:pt>
                <c:pt idx="183">
                  <c:v>611.54999999999973</c:v>
                </c:pt>
                <c:pt idx="184">
                  <c:v>610.0899999999998</c:v>
                </c:pt>
                <c:pt idx="185">
                  <c:v>608.62999999999977</c:v>
                </c:pt>
                <c:pt idx="186">
                  <c:v>607.16999999999973</c:v>
                </c:pt>
                <c:pt idx="187">
                  <c:v>605.70999999999981</c:v>
                </c:pt>
                <c:pt idx="188">
                  <c:v>604.24999999999977</c:v>
                </c:pt>
                <c:pt idx="189">
                  <c:v>602.78999999999974</c:v>
                </c:pt>
                <c:pt idx="190">
                  <c:v>601.32999999999981</c:v>
                </c:pt>
                <c:pt idx="191">
                  <c:v>599.86999999999978</c:v>
                </c:pt>
                <c:pt idx="192">
                  <c:v>598.40999999999974</c:v>
                </c:pt>
                <c:pt idx="193">
                  <c:v>596.94999999999982</c:v>
                </c:pt>
                <c:pt idx="194">
                  <c:v>595.48999999999978</c:v>
                </c:pt>
                <c:pt idx="195">
                  <c:v>594.02999999999975</c:v>
                </c:pt>
                <c:pt idx="196">
                  <c:v>592.56999999999971</c:v>
                </c:pt>
                <c:pt idx="197">
                  <c:v>591.10999999999979</c:v>
                </c:pt>
                <c:pt idx="198">
                  <c:v>589.64999999999975</c:v>
                </c:pt>
                <c:pt idx="199">
                  <c:v>588.18999999999971</c:v>
                </c:pt>
                <c:pt idx="200">
                  <c:v>586.72999999999979</c:v>
                </c:pt>
                <c:pt idx="201">
                  <c:v>585.26999999999987</c:v>
                </c:pt>
                <c:pt idx="202">
                  <c:v>583.80999999999983</c:v>
                </c:pt>
                <c:pt idx="203">
                  <c:v>582.34999999999991</c:v>
                </c:pt>
                <c:pt idx="204">
                  <c:v>580.88999999999987</c:v>
                </c:pt>
                <c:pt idx="205">
                  <c:v>579.42999999999995</c:v>
                </c:pt>
                <c:pt idx="206">
                  <c:v>577.97</c:v>
                </c:pt>
                <c:pt idx="207">
                  <c:v>576.51</c:v>
                </c:pt>
                <c:pt idx="208">
                  <c:v>575.05000000000007</c:v>
                </c:pt>
                <c:pt idx="209">
                  <c:v>573.59</c:v>
                </c:pt>
                <c:pt idx="210">
                  <c:v>572.13000000000011</c:v>
                </c:pt>
                <c:pt idx="211">
                  <c:v>570.67000000000019</c:v>
                </c:pt>
                <c:pt idx="212">
                  <c:v>569.21000000000015</c:v>
                </c:pt>
                <c:pt idx="213">
                  <c:v>567.75000000000023</c:v>
                </c:pt>
                <c:pt idx="214">
                  <c:v>566.29000000000019</c:v>
                </c:pt>
                <c:pt idx="215">
                  <c:v>564.83000000000027</c:v>
                </c:pt>
                <c:pt idx="216">
                  <c:v>563.37000000000035</c:v>
                </c:pt>
                <c:pt idx="217">
                  <c:v>561.91000000000031</c:v>
                </c:pt>
                <c:pt idx="218">
                  <c:v>560.45000000000039</c:v>
                </c:pt>
                <c:pt idx="219">
                  <c:v>558.99000000000035</c:v>
                </c:pt>
                <c:pt idx="220">
                  <c:v>557.53000000000043</c:v>
                </c:pt>
                <c:pt idx="221">
                  <c:v>556.07000000000039</c:v>
                </c:pt>
                <c:pt idx="222">
                  <c:v>554.61000000000047</c:v>
                </c:pt>
                <c:pt idx="223">
                  <c:v>553.15000000000055</c:v>
                </c:pt>
                <c:pt idx="224">
                  <c:v>551.69000000000051</c:v>
                </c:pt>
                <c:pt idx="225">
                  <c:v>550.23000000000059</c:v>
                </c:pt>
                <c:pt idx="226">
                  <c:v>548.77000000000055</c:v>
                </c:pt>
                <c:pt idx="227">
                  <c:v>547.31000000000063</c:v>
                </c:pt>
                <c:pt idx="228">
                  <c:v>545.8500000000007</c:v>
                </c:pt>
                <c:pt idx="229">
                  <c:v>544.39000000000067</c:v>
                </c:pt>
                <c:pt idx="230">
                  <c:v>542.93000000000075</c:v>
                </c:pt>
                <c:pt idx="231">
                  <c:v>541.47000000000071</c:v>
                </c:pt>
                <c:pt idx="232">
                  <c:v>540.01000000000079</c:v>
                </c:pt>
                <c:pt idx="233">
                  <c:v>538.55000000000086</c:v>
                </c:pt>
                <c:pt idx="234">
                  <c:v>537.09000000000083</c:v>
                </c:pt>
                <c:pt idx="235">
                  <c:v>535.6300000000009</c:v>
                </c:pt>
                <c:pt idx="236">
                  <c:v>534.17000000000087</c:v>
                </c:pt>
                <c:pt idx="237">
                  <c:v>532.71000000000095</c:v>
                </c:pt>
                <c:pt idx="238">
                  <c:v>531.25000000000102</c:v>
                </c:pt>
                <c:pt idx="239">
                  <c:v>529.79000000000099</c:v>
                </c:pt>
                <c:pt idx="240">
                  <c:v>528.33000000000106</c:v>
                </c:pt>
                <c:pt idx="241">
                  <c:v>526.87000000000103</c:v>
                </c:pt>
                <c:pt idx="242">
                  <c:v>525.41000000000111</c:v>
                </c:pt>
                <c:pt idx="243">
                  <c:v>523.95000000000118</c:v>
                </c:pt>
                <c:pt idx="244">
                  <c:v>522.49000000000115</c:v>
                </c:pt>
                <c:pt idx="245">
                  <c:v>521.03000000000122</c:v>
                </c:pt>
                <c:pt idx="246">
                  <c:v>519.57000000000119</c:v>
                </c:pt>
                <c:pt idx="247">
                  <c:v>518.11000000000126</c:v>
                </c:pt>
                <c:pt idx="248">
                  <c:v>516.65000000000123</c:v>
                </c:pt>
                <c:pt idx="249">
                  <c:v>515.19000000000131</c:v>
                </c:pt>
                <c:pt idx="250">
                  <c:v>513.73000000000138</c:v>
                </c:pt>
                <c:pt idx="251">
                  <c:v>511.97872340425727</c:v>
                </c:pt>
                <c:pt idx="252">
                  <c:v>509.93617021276793</c:v>
                </c:pt>
                <c:pt idx="253">
                  <c:v>507.8936170212786</c:v>
                </c:pt>
                <c:pt idx="254">
                  <c:v>505.85106382978927</c:v>
                </c:pt>
                <c:pt idx="255">
                  <c:v>503.80851063829999</c:v>
                </c:pt>
                <c:pt idx="256">
                  <c:v>501.76595744681066</c:v>
                </c:pt>
                <c:pt idx="257">
                  <c:v>499.72340425532133</c:v>
                </c:pt>
                <c:pt idx="258">
                  <c:v>497.68085106383205</c:v>
                </c:pt>
                <c:pt idx="259">
                  <c:v>495.63829787234272</c:v>
                </c:pt>
                <c:pt idx="260">
                  <c:v>493.59574468085339</c:v>
                </c:pt>
                <c:pt idx="261">
                  <c:v>491.55319148936405</c:v>
                </c:pt>
                <c:pt idx="262">
                  <c:v>489.51063829787478</c:v>
                </c:pt>
                <c:pt idx="263">
                  <c:v>487.46808510638544</c:v>
                </c:pt>
                <c:pt idx="264">
                  <c:v>485.42553191489611</c:v>
                </c:pt>
                <c:pt idx="265">
                  <c:v>483.38297872340678</c:v>
                </c:pt>
                <c:pt idx="266">
                  <c:v>481.3404255319175</c:v>
                </c:pt>
                <c:pt idx="267">
                  <c:v>479.29787234042817</c:v>
                </c:pt>
                <c:pt idx="268">
                  <c:v>477.25531914893884</c:v>
                </c:pt>
                <c:pt idx="269">
                  <c:v>475.21276595744951</c:v>
                </c:pt>
                <c:pt idx="270">
                  <c:v>473.17021276596023</c:v>
                </c:pt>
                <c:pt idx="271">
                  <c:v>471.1276595744709</c:v>
                </c:pt>
                <c:pt idx="272">
                  <c:v>469.08510638298156</c:v>
                </c:pt>
                <c:pt idx="273">
                  <c:v>467.04255319149229</c:v>
                </c:pt>
                <c:pt idx="274">
                  <c:v>465.00000000000296</c:v>
                </c:pt>
                <c:pt idx="275">
                  <c:v>462.95744680851362</c:v>
                </c:pt>
                <c:pt idx="276">
                  <c:v>460.91489361702429</c:v>
                </c:pt>
                <c:pt idx="277">
                  <c:v>458.87234042553501</c:v>
                </c:pt>
                <c:pt idx="278">
                  <c:v>456.82978723404568</c:v>
                </c:pt>
                <c:pt idx="279">
                  <c:v>454.78723404255635</c:v>
                </c:pt>
                <c:pt idx="280">
                  <c:v>452.74468085106707</c:v>
                </c:pt>
                <c:pt idx="281">
                  <c:v>450.70212765957774</c:v>
                </c:pt>
                <c:pt idx="282">
                  <c:v>448.65957446808841</c:v>
                </c:pt>
                <c:pt idx="283">
                  <c:v>446.61702127659908</c:v>
                </c:pt>
                <c:pt idx="284">
                  <c:v>444.57446808510974</c:v>
                </c:pt>
                <c:pt idx="285">
                  <c:v>442.53191489362047</c:v>
                </c:pt>
                <c:pt idx="286">
                  <c:v>440.48936170213113</c:v>
                </c:pt>
                <c:pt idx="287">
                  <c:v>438.44680851064186</c:v>
                </c:pt>
                <c:pt idx="288">
                  <c:v>436.40425531915253</c:v>
                </c:pt>
                <c:pt idx="289">
                  <c:v>434.36170212766319</c:v>
                </c:pt>
                <c:pt idx="290">
                  <c:v>432.31914893617386</c:v>
                </c:pt>
                <c:pt idx="291">
                  <c:v>430.27659574468453</c:v>
                </c:pt>
                <c:pt idx="292">
                  <c:v>428.23404255319525</c:v>
                </c:pt>
                <c:pt idx="293">
                  <c:v>426.19148936170592</c:v>
                </c:pt>
                <c:pt idx="294">
                  <c:v>424.14893617021659</c:v>
                </c:pt>
                <c:pt idx="295">
                  <c:v>422.10638297872731</c:v>
                </c:pt>
                <c:pt idx="296">
                  <c:v>420.06382978723798</c:v>
                </c:pt>
                <c:pt idx="297">
                  <c:v>418.02127659574865</c:v>
                </c:pt>
                <c:pt idx="298">
                  <c:v>412.82608695653812</c:v>
                </c:pt>
                <c:pt idx="299">
                  <c:v>404.47826086958179</c:v>
                </c:pt>
                <c:pt idx="300">
                  <c:v>396.13043478262546</c:v>
                </c:pt>
                <c:pt idx="301">
                  <c:v>387.78260869566913</c:v>
                </c:pt>
                <c:pt idx="302">
                  <c:v>379.43478260871274</c:v>
                </c:pt>
                <c:pt idx="303">
                  <c:v>371.08695652175641</c:v>
                </c:pt>
                <c:pt idx="304">
                  <c:v>362.73913043480007</c:v>
                </c:pt>
                <c:pt idx="305">
                  <c:v>354.39130434784374</c:v>
                </c:pt>
                <c:pt idx="306">
                  <c:v>346.04347826088735</c:v>
                </c:pt>
                <c:pt idx="307">
                  <c:v>337.69565217393102</c:v>
                </c:pt>
                <c:pt idx="308">
                  <c:v>329.34782608697469</c:v>
                </c:pt>
                <c:pt idx="309">
                  <c:v>321.00000000001836</c:v>
                </c:pt>
                <c:pt idx="310">
                  <c:v>312.65217391306203</c:v>
                </c:pt>
                <c:pt idx="311">
                  <c:v>304.30434782610564</c:v>
                </c:pt>
                <c:pt idx="312">
                  <c:v>295.95652173914931</c:v>
                </c:pt>
                <c:pt idx="313">
                  <c:v>287.60869565219298</c:v>
                </c:pt>
                <c:pt idx="314">
                  <c:v>279.26086956523659</c:v>
                </c:pt>
                <c:pt idx="315">
                  <c:v>270.91304347828031</c:v>
                </c:pt>
                <c:pt idx="316">
                  <c:v>262.56521739132393</c:v>
                </c:pt>
                <c:pt idx="317">
                  <c:v>254.2173913043676</c:v>
                </c:pt>
                <c:pt idx="318">
                  <c:v>245.86956521741126</c:v>
                </c:pt>
                <c:pt idx="319">
                  <c:v>237.5217391304549</c:v>
                </c:pt>
                <c:pt idx="320">
                  <c:v>229.17391304349857</c:v>
                </c:pt>
                <c:pt idx="321">
                  <c:v>222.07407407408843</c:v>
                </c:pt>
                <c:pt idx="322">
                  <c:v>216.2222222222367</c:v>
                </c:pt>
                <c:pt idx="323">
                  <c:v>210.37037037038499</c:v>
                </c:pt>
                <c:pt idx="324">
                  <c:v>204.51851851853326</c:v>
                </c:pt>
                <c:pt idx="325">
                  <c:v>198.66666666668152</c:v>
                </c:pt>
                <c:pt idx="326">
                  <c:v>192.81481481482979</c:v>
                </c:pt>
                <c:pt idx="327">
                  <c:v>186.96296296297808</c:v>
                </c:pt>
                <c:pt idx="328">
                  <c:v>181.11111111112635</c:v>
                </c:pt>
                <c:pt idx="329">
                  <c:v>175.25925925927461</c:v>
                </c:pt>
                <c:pt idx="330">
                  <c:v>169.40740740742291</c:v>
                </c:pt>
                <c:pt idx="331">
                  <c:v>163.55555555557117</c:v>
                </c:pt>
                <c:pt idx="332">
                  <c:v>157.70370370371944</c:v>
                </c:pt>
                <c:pt idx="333">
                  <c:v>151.85185185186771</c:v>
                </c:pt>
                <c:pt idx="334">
                  <c:v>146.00000000001597</c:v>
                </c:pt>
                <c:pt idx="335">
                  <c:v>140.14814814816427</c:v>
                </c:pt>
                <c:pt idx="336">
                  <c:v>134.29629629631253</c:v>
                </c:pt>
                <c:pt idx="337">
                  <c:v>128.44444444446083</c:v>
                </c:pt>
                <c:pt idx="338">
                  <c:v>122.59259259260908</c:v>
                </c:pt>
                <c:pt idx="339">
                  <c:v>116.74074074075736</c:v>
                </c:pt>
                <c:pt idx="340">
                  <c:v>110.88888888890563</c:v>
                </c:pt>
                <c:pt idx="341">
                  <c:v>105.03703703705391</c:v>
                </c:pt>
                <c:pt idx="342">
                  <c:v>99.185185185202172</c:v>
                </c:pt>
                <c:pt idx="343">
                  <c:v>93.333333333350453</c:v>
                </c:pt>
                <c:pt idx="344">
                  <c:v>87.481481481498719</c:v>
                </c:pt>
                <c:pt idx="345">
                  <c:v>81.629629629646985</c:v>
                </c:pt>
                <c:pt idx="346">
                  <c:v>75.777777777795279</c:v>
                </c:pt>
                <c:pt idx="347">
                  <c:v>69.925925925943545</c:v>
                </c:pt>
                <c:pt idx="348">
                  <c:v>64.20833333335024</c:v>
                </c:pt>
                <c:pt idx="349">
                  <c:v>58.625000000017017</c:v>
                </c:pt>
                <c:pt idx="350">
                  <c:v>53.041666666683788</c:v>
                </c:pt>
                <c:pt idx="351">
                  <c:v>47.458333333350552</c:v>
                </c:pt>
                <c:pt idx="352">
                  <c:v>41.875000000017323</c:v>
                </c:pt>
                <c:pt idx="353">
                  <c:v>36.291666666684094</c:v>
                </c:pt>
                <c:pt idx="354">
                  <c:v>30.708333333350872</c:v>
                </c:pt>
                <c:pt idx="355">
                  <c:v>25.125000000017643</c:v>
                </c:pt>
                <c:pt idx="356">
                  <c:v>19.541666666684407</c:v>
                </c:pt>
                <c:pt idx="357">
                  <c:v>13.958333333351177</c:v>
                </c:pt>
                <c:pt idx="358">
                  <c:v>8.3750000000179483</c:v>
                </c:pt>
                <c:pt idx="359">
                  <c:v>2.7916666666847192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3-7045-93AD-06357D4BED02}"/>
            </c:ext>
          </c:extLst>
        </c:ser>
        <c:ser>
          <c:idx val="2"/>
          <c:order val="1"/>
          <c:tx>
            <c:strRef>
              <c:f>Courbes!$B$135</c:f>
              <c:strCache>
                <c:ptCount val="1"/>
                <c:pt idx="0">
                  <c:v>Poids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Calculs!$T$4:$T$1004</c:f>
              <c:numCache>
                <c:formatCode>0.00</c:formatCode>
                <c:ptCount val="1001"/>
                <c:pt idx="0">
                  <c:v>83.532150000000016</c:v>
                </c:pt>
                <c:pt idx="1">
                  <c:v>83.527753598531859</c:v>
                </c:pt>
                <c:pt idx="2">
                  <c:v>83.514564394127405</c:v>
                </c:pt>
                <c:pt idx="3">
                  <c:v>83.492582386786637</c:v>
                </c:pt>
                <c:pt idx="4">
                  <c:v>83.461807576509571</c:v>
                </c:pt>
                <c:pt idx="5">
                  <c:v>83.422239963296192</c:v>
                </c:pt>
                <c:pt idx="6">
                  <c:v>83.37832791553511</c:v>
                </c:pt>
                <c:pt idx="7">
                  <c:v>83.33451980161486</c:v>
                </c:pt>
                <c:pt idx="8">
                  <c:v>83.290815621535472</c:v>
                </c:pt>
                <c:pt idx="9">
                  <c:v>83.24721537529696</c:v>
                </c:pt>
                <c:pt idx="10">
                  <c:v>83.203719062899282</c:v>
                </c:pt>
                <c:pt idx="11">
                  <c:v>83.160326684342465</c:v>
                </c:pt>
                <c:pt idx="12">
                  <c:v>83.117038239626496</c:v>
                </c:pt>
                <c:pt idx="13">
                  <c:v>83.073853728751388</c:v>
                </c:pt>
                <c:pt idx="14">
                  <c:v>83.030773151717142</c:v>
                </c:pt>
                <c:pt idx="15">
                  <c:v>82.987796508523743</c:v>
                </c:pt>
                <c:pt idx="16">
                  <c:v>82.944923799171193</c:v>
                </c:pt>
                <c:pt idx="17">
                  <c:v>82.902155023659503</c:v>
                </c:pt>
                <c:pt idx="18">
                  <c:v>82.859490181988662</c:v>
                </c:pt>
                <c:pt idx="19">
                  <c:v>82.816929274158682</c:v>
                </c:pt>
                <c:pt idx="20">
                  <c:v>82.774472300169549</c:v>
                </c:pt>
                <c:pt idx="21">
                  <c:v>82.732119260021278</c:v>
                </c:pt>
                <c:pt idx="22">
                  <c:v>82.689870153713855</c:v>
                </c:pt>
                <c:pt idx="23">
                  <c:v>82.647724981247293</c:v>
                </c:pt>
                <c:pt idx="24">
                  <c:v>82.605683742621579</c:v>
                </c:pt>
                <c:pt idx="25">
                  <c:v>82.563746437836727</c:v>
                </c:pt>
                <c:pt idx="26">
                  <c:v>82.521913066892736</c:v>
                </c:pt>
                <c:pt idx="27">
                  <c:v>82.480183629789579</c:v>
                </c:pt>
                <c:pt idx="28">
                  <c:v>82.438558126527298</c:v>
                </c:pt>
                <c:pt idx="29">
                  <c:v>82.397036557105864</c:v>
                </c:pt>
                <c:pt idx="30">
                  <c:v>82.355618921525291</c:v>
                </c:pt>
                <c:pt idx="31">
                  <c:v>82.314305219785567</c:v>
                </c:pt>
                <c:pt idx="32">
                  <c:v>82.273095451886689</c:v>
                </c:pt>
                <c:pt idx="33">
                  <c:v>82.231989617828674</c:v>
                </c:pt>
                <c:pt idx="34">
                  <c:v>82.19098771761152</c:v>
                </c:pt>
                <c:pt idx="35">
                  <c:v>82.150089751235214</c:v>
                </c:pt>
                <c:pt idx="36">
                  <c:v>82.109295718699755</c:v>
                </c:pt>
                <c:pt idx="37">
                  <c:v>82.068605620005144</c:v>
                </c:pt>
                <c:pt idx="38">
                  <c:v>82.028019455151409</c:v>
                </c:pt>
                <c:pt idx="39">
                  <c:v>81.987537224138521</c:v>
                </c:pt>
                <c:pt idx="40">
                  <c:v>81.947158926966495</c:v>
                </c:pt>
                <c:pt idx="41">
                  <c:v>81.906884563635302</c:v>
                </c:pt>
                <c:pt idx="42">
                  <c:v>81.866714134144971</c:v>
                </c:pt>
                <c:pt idx="43">
                  <c:v>81.826647638495515</c:v>
                </c:pt>
                <c:pt idx="44">
                  <c:v>81.786685076686894</c:v>
                </c:pt>
                <c:pt idx="45">
                  <c:v>81.746826448719133</c:v>
                </c:pt>
                <c:pt idx="46">
                  <c:v>81.707071754592221</c:v>
                </c:pt>
                <c:pt idx="47">
                  <c:v>81.667420994306184</c:v>
                </c:pt>
                <c:pt idx="48">
                  <c:v>81.627874167860995</c:v>
                </c:pt>
                <c:pt idx="49">
                  <c:v>81.588431275256653</c:v>
                </c:pt>
                <c:pt idx="50">
                  <c:v>81.549092316493159</c:v>
                </c:pt>
                <c:pt idx="51">
                  <c:v>81.509834371423509</c:v>
                </c:pt>
                <c:pt idx="52">
                  <c:v>81.470634519900713</c:v>
                </c:pt>
                <c:pt idx="53">
                  <c:v>81.431492761924744</c:v>
                </c:pt>
                <c:pt idx="54">
                  <c:v>81.392409097495602</c:v>
                </c:pt>
                <c:pt idx="55">
                  <c:v>81.3533835266133</c:v>
                </c:pt>
                <c:pt idx="56">
                  <c:v>81.314416049277824</c:v>
                </c:pt>
                <c:pt idx="57">
                  <c:v>81.275506665489203</c:v>
                </c:pt>
                <c:pt idx="58">
                  <c:v>81.236655375247423</c:v>
                </c:pt>
                <c:pt idx="59">
                  <c:v>81.197862178552455</c:v>
                </c:pt>
                <c:pt idx="60">
                  <c:v>81.159127075404328</c:v>
                </c:pt>
                <c:pt idx="61">
                  <c:v>81.120450065803055</c:v>
                </c:pt>
                <c:pt idx="62">
                  <c:v>81.081831149748609</c:v>
                </c:pt>
                <c:pt idx="63">
                  <c:v>81.04327032724099</c:v>
                </c:pt>
                <c:pt idx="64">
                  <c:v>81.00476759828021</c:v>
                </c:pt>
                <c:pt idx="65">
                  <c:v>80.966322962866258</c:v>
                </c:pt>
                <c:pt idx="66">
                  <c:v>80.92793642099916</c:v>
                </c:pt>
                <c:pt idx="67">
                  <c:v>80.889607972678888</c:v>
                </c:pt>
                <c:pt idx="68">
                  <c:v>80.851337617905443</c:v>
                </c:pt>
                <c:pt idx="69">
                  <c:v>80.813125356678839</c:v>
                </c:pt>
                <c:pt idx="70">
                  <c:v>80.774971188999075</c:v>
                </c:pt>
                <c:pt idx="71">
                  <c:v>80.736875114866152</c:v>
                </c:pt>
                <c:pt idx="72">
                  <c:v>80.698837134280055</c:v>
                </c:pt>
                <c:pt idx="73">
                  <c:v>80.660857247240799</c:v>
                </c:pt>
                <c:pt idx="74">
                  <c:v>80.622935453748369</c:v>
                </c:pt>
                <c:pt idx="75">
                  <c:v>80.585071753802779</c:v>
                </c:pt>
                <c:pt idx="76">
                  <c:v>80.547266147404031</c:v>
                </c:pt>
                <c:pt idx="77">
                  <c:v>80.509518634552123</c:v>
                </c:pt>
                <c:pt idx="78">
                  <c:v>80.471829215247027</c:v>
                </c:pt>
                <c:pt idx="79">
                  <c:v>80.434197889488786</c:v>
                </c:pt>
                <c:pt idx="80">
                  <c:v>80.396624657277371</c:v>
                </c:pt>
                <c:pt idx="81">
                  <c:v>80.359109518612797</c:v>
                </c:pt>
                <c:pt idx="82">
                  <c:v>80.321652473495064</c:v>
                </c:pt>
                <c:pt idx="83">
                  <c:v>80.284253521924157</c:v>
                </c:pt>
                <c:pt idx="84">
                  <c:v>80.24691266390009</c:v>
                </c:pt>
                <c:pt idx="85">
                  <c:v>80.209629899422865</c:v>
                </c:pt>
                <c:pt idx="86">
                  <c:v>80.172405228492465</c:v>
                </c:pt>
                <c:pt idx="87">
                  <c:v>80.135238651108907</c:v>
                </c:pt>
                <c:pt idx="88">
                  <c:v>80.098130167272174</c:v>
                </c:pt>
                <c:pt idx="89">
                  <c:v>80.061079776982282</c:v>
                </c:pt>
                <c:pt idx="90">
                  <c:v>80.024087480239231</c:v>
                </c:pt>
                <c:pt idx="91">
                  <c:v>79.987153277043006</c:v>
                </c:pt>
                <c:pt idx="92">
                  <c:v>79.950277167393622</c:v>
                </c:pt>
                <c:pt idx="93">
                  <c:v>79.913459151291079</c:v>
                </c:pt>
                <c:pt idx="94">
                  <c:v>79.876699228735376</c:v>
                </c:pt>
                <c:pt idx="95">
                  <c:v>79.839997399726499</c:v>
                </c:pt>
                <c:pt idx="96">
                  <c:v>79.803353664264449</c:v>
                </c:pt>
                <c:pt idx="97">
                  <c:v>79.76676802234924</c:v>
                </c:pt>
                <c:pt idx="98">
                  <c:v>79.730240473980885</c:v>
                </c:pt>
                <c:pt idx="99">
                  <c:v>79.693771019159342</c:v>
                </c:pt>
                <c:pt idx="100">
                  <c:v>79.657359657884655</c:v>
                </c:pt>
                <c:pt idx="101">
                  <c:v>79.621016728838853</c:v>
                </c:pt>
                <c:pt idx="102">
                  <c:v>79.584752570704012</c:v>
                </c:pt>
                <c:pt idx="103">
                  <c:v>79.548567183480131</c:v>
                </c:pt>
                <c:pt idx="104">
                  <c:v>79.51246056716721</c:v>
                </c:pt>
                <c:pt idx="105">
                  <c:v>79.476432721765264</c:v>
                </c:pt>
                <c:pt idx="106">
                  <c:v>79.440483647274277</c:v>
                </c:pt>
                <c:pt idx="107">
                  <c:v>79.404613343694251</c:v>
                </c:pt>
                <c:pt idx="108">
                  <c:v>79.3688218110252</c:v>
                </c:pt>
                <c:pt idx="109">
                  <c:v>79.333109049267122</c:v>
                </c:pt>
                <c:pt idx="110">
                  <c:v>79.297475058420005</c:v>
                </c:pt>
                <c:pt idx="111">
                  <c:v>79.261919838483848</c:v>
                </c:pt>
                <c:pt idx="112">
                  <c:v>79.226443389458652</c:v>
                </c:pt>
                <c:pt idx="113">
                  <c:v>79.191045711344415</c:v>
                </c:pt>
                <c:pt idx="114">
                  <c:v>79.155726804141153</c:v>
                </c:pt>
                <c:pt idx="115">
                  <c:v>79.120486667848851</c:v>
                </c:pt>
                <c:pt idx="116">
                  <c:v>79.08532530246751</c:v>
                </c:pt>
                <c:pt idx="117">
                  <c:v>79.050242707997128</c:v>
                </c:pt>
                <c:pt idx="118">
                  <c:v>79.015238884437707</c:v>
                </c:pt>
                <c:pt idx="119">
                  <c:v>78.980313831789246</c:v>
                </c:pt>
                <c:pt idx="120">
                  <c:v>78.94546755005176</c:v>
                </c:pt>
                <c:pt idx="121">
                  <c:v>78.910700039225233</c:v>
                </c:pt>
                <c:pt idx="122">
                  <c:v>78.876011299309667</c:v>
                </c:pt>
                <c:pt idx="123">
                  <c:v>78.841401330305061</c:v>
                </c:pt>
                <c:pt idx="124">
                  <c:v>78.806870132211415</c:v>
                </c:pt>
                <c:pt idx="125">
                  <c:v>78.772417705028744</c:v>
                </c:pt>
                <c:pt idx="126">
                  <c:v>78.738044048757018</c:v>
                </c:pt>
                <c:pt idx="127">
                  <c:v>78.703749163396267</c:v>
                </c:pt>
                <c:pt idx="128">
                  <c:v>78.669533048946477</c:v>
                </c:pt>
                <c:pt idx="129">
                  <c:v>78.63539570540766</c:v>
                </c:pt>
                <c:pt idx="130">
                  <c:v>78.60133713277979</c:v>
                </c:pt>
                <c:pt idx="131">
                  <c:v>78.567357331062908</c:v>
                </c:pt>
                <c:pt idx="132">
                  <c:v>78.533456300256987</c:v>
                </c:pt>
                <c:pt idx="133">
                  <c:v>78.499634040362025</c:v>
                </c:pt>
                <c:pt idx="134">
                  <c:v>78.465890551378024</c:v>
                </c:pt>
                <c:pt idx="135">
                  <c:v>78.432225833304983</c:v>
                </c:pt>
                <c:pt idx="136">
                  <c:v>78.398639886142902</c:v>
                </c:pt>
                <c:pt idx="137">
                  <c:v>78.365132709891796</c:v>
                </c:pt>
                <c:pt idx="138">
                  <c:v>78.33170430455165</c:v>
                </c:pt>
                <c:pt idx="139">
                  <c:v>78.298354670122464</c:v>
                </c:pt>
                <c:pt idx="140">
                  <c:v>78.265083806604252</c:v>
                </c:pt>
                <c:pt idx="141">
                  <c:v>78.231891713996987</c:v>
                </c:pt>
                <c:pt idx="142">
                  <c:v>78.198778392300696</c:v>
                </c:pt>
                <c:pt idx="143">
                  <c:v>78.165743841515365</c:v>
                </c:pt>
                <c:pt idx="144">
                  <c:v>78.132788061640994</c:v>
                </c:pt>
                <c:pt idx="145">
                  <c:v>78.099911052677598</c:v>
                </c:pt>
                <c:pt idx="146">
                  <c:v>78.067112814625148</c:v>
                </c:pt>
                <c:pt idx="147">
                  <c:v>78.034393347483672</c:v>
                </c:pt>
                <c:pt idx="148">
                  <c:v>78.00175265125317</c:v>
                </c:pt>
                <c:pt idx="149">
                  <c:v>77.969190725933615</c:v>
                </c:pt>
                <c:pt idx="150">
                  <c:v>77.936707571525034</c:v>
                </c:pt>
                <c:pt idx="151">
                  <c:v>77.90429974180006</c:v>
                </c:pt>
                <c:pt idx="152">
                  <c:v>77.871963790531339</c:v>
                </c:pt>
                <c:pt idx="153">
                  <c:v>77.839699717718872</c:v>
                </c:pt>
                <c:pt idx="154">
                  <c:v>77.807507523362645</c:v>
                </c:pt>
                <c:pt idx="155">
                  <c:v>77.7753872074627</c:v>
                </c:pt>
                <c:pt idx="156">
                  <c:v>77.743338770018994</c:v>
                </c:pt>
                <c:pt idx="157">
                  <c:v>77.711362211031542</c:v>
                </c:pt>
                <c:pt idx="158">
                  <c:v>77.679457530500343</c:v>
                </c:pt>
                <c:pt idx="159">
                  <c:v>77.647624728425399</c:v>
                </c:pt>
                <c:pt idx="160">
                  <c:v>77.615863804806708</c:v>
                </c:pt>
                <c:pt idx="161">
                  <c:v>77.58417475964427</c:v>
                </c:pt>
                <c:pt idx="162">
                  <c:v>77.552557592938101</c:v>
                </c:pt>
                <c:pt idx="163">
                  <c:v>77.521012304688171</c:v>
                </c:pt>
                <c:pt idx="164">
                  <c:v>77.489538894894494</c:v>
                </c:pt>
                <c:pt idx="165">
                  <c:v>77.458137363557071</c:v>
                </c:pt>
                <c:pt idx="166">
                  <c:v>77.426807710675916</c:v>
                </c:pt>
                <c:pt idx="167">
                  <c:v>77.395549936251001</c:v>
                </c:pt>
                <c:pt idx="168">
                  <c:v>77.364364040282354</c:v>
                </c:pt>
                <c:pt idx="169">
                  <c:v>77.333250022769946</c:v>
                </c:pt>
                <c:pt idx="170">
                  <c:v>77.302207883713805</c:v>
                </c:pt>
                <c:pt idx="171">
                  <c:v>77.271237623113905</c:v>
                </c:pt>
                <c:pt idx="172">
                  <c:v>77.240339240970272</c:v>
                </c:pt>
                <c:pt idx="173">
                  <c:v>77.209512737282878</c:v>
                </c:pt>
                <c:pt idx="174">
                  <c:v>77.178758112051753</c:v>
                </c:pt>
                <c:pt idx="175">
                  <c:v>77.148075365276881</c:v>
                </c:pt>
                <c:pt idx="176">
                  <c:v>77.117464496958263</c:v>
                </c:pt>
                <c:pt idx="177">
                  <c:v>77.086925507095899</c:v>
                </c:pt>
                <c:pt idx="178">
                  <c:v>77.056458395689788</c:v>
                </c:pt>
                <c:pt idx="179">
                  <c:v>77.026063162739931</c:v>
                </c:pt>
                <c:pt idx="180">
                  <c:v>76.995739808246327</c:v>
                </c:pt>
                <c:pt idx="181">
                  <c:v>76.965488332208977</c:v>
                </c:pt>
                <c:pt idx="182">
                  <c:v>76.935308734627881</c:v>
                </c:pt>
                <c:pt idx="183">
                  <c:v>76.905201015503039</c:v>
                </c:pt>
                <c:pt idx="184">
                  <c:v>76.87516517483445</c:v>
                </c:pt>
                <c:pt idx="185">
                  <c:v>76.845201212622115</c:v>
                </c:pt>
                <c:pt idx="186">
                  <c:v>76.815309128866048</c:v>
                </c:pt>
                <c:pt idx="187">
                  <c:v>76.78548892356622</c:v>
                </c:pt>
                <c:pt idx="188">
                  <c:v>76.755740596722646</c:v>
                </c:pt>
                <c:pt idx="189">
                  <c:v>76.726064148335325</c:v>
                </c:pt>
                <c:pt idx="190">
                  <c:v>76.696459578404273</c:v>
                </c:pt>
                <c:pt idx="191">
                  <c:v>76.66692688692946</c:v>
                </c:pt>
                <c:pt idx="192">
                  <c:v>76.637466073910915</c:v>
                </c:pt>
                <c:pt idx="193">
                  <c:v>76.608077139348609</c:v>
                </c:pt>
                <c:pt idx="194">
                  <c:v>76.578760083242571</c:v>
                </c:pt>
                <c:pt idx="195">
                  <c:v>76.549514905592773</c:v>
                </c:pt>
                <c:pt idx="196">
                  <c:v>76.520341606399242</c:v>
                </c:pt>
                <c:pt idx="197">
                  <c:v>76.491240185661951</c:v>
                </c:pt>
                <c:pt idx="198">
                  <c:v>76.462210643380928</c:v>
                </c:pt>
                <c:pt idx="199">
                  <c:v>76.433252979556158</c:v>
                </c:pt>
                <c:pt idx="200">
                  <c:v>76.404367194187628</c:v>
                </c:pt>
                <c:pt idx="201">
                  <c:v>76.375553287275366</c:v>
                </c:pt>
                <c:pt idx="202">
                  <c:v>76.346811258819358</c:v>
                </c:pt>
                <c:pt idx="203">
                  <c:v>76.318141108819589</c:v>
                </c:pt>
                <c:pt idx="204">
                  <c:v>76.289542837276102</c:v>
                </c:pt>
                <c:pt idx="205">
                  <c:v>76.261016444188854</c:v>
                </c:pt>
                <c:pt idx="206">
                  <c:v>76.23256192955786</c:v>
                </c:pt>
                <c:pt idx="207">
                  <c:v>76.204179293383106</c:v>
                </c:pt>
                <c:pt idx="208">
                  <c:v>76.17586853566462</c:v>
                </c:pt>
                <c:pt idx="209">
                  <c:v>76.147629656402387</c:v>
                </c:pt>
                <c:pt idx="210">
                  <c:v>76.119462655596422</c:v>
                </c:pt>
                <c:pt idx="211">
                  <c:v>76.091367533246697</c:v>
                </c:pt>
                <c:pt idx="212">
                  <c:v>76.063344289353225</c:v>
                </c:pt>
                <c:pt idx="213">
                  <c:v>76.035392923916007</c:v>
                </c:pt>
                <c:pt idx="214">
                  <c:v>76.007513436935042</c:v>
                </c:pt>
                <c:pt idx="215">
                  <c:v>75.979705828410346</c:v>
                </c:pt>
                <c:pt idx="216">
                  <c:v>75.951970098341889</c:v>
                </c:pt>
                <c:pt idx="217">
                  <c:v>75.924306246729685</c:v>
                </c:pt>
                <c:pt idx="218">
                  <c:v>75.896714273573735</c:v>
                </c:pt>
                <c:pt idx="219">
                  <c:v>75.869194178874054</c:v>
                </c:pt>
                <c:pt idx="220">
                  <c:v>75.841745962630625</c:v>
                </c:pt>
                <c:pt idx="221">
                  <c:v>75.814369624843437</c:v>
                </c:pt>
                <c:pt idx="222">
                  <c:v>75.787065165512502</c:v>
                </c:pt>
                <c:pt idx="223">
                  <c:v>75.759832584637834</c:v>
                </c:pt>
                <c:pt idx="224">
                  <c:v>75.732671882219421</c:v>
                </c:pt>
                <c:pt idx="225">
                  <c:v>75.705583058257247</c:v>
                </c:pt>
                <c:pt idx="226">
                  <c:v>75.678566112751341</c:v>
                </c:pt>
                <c:pt idx="227">
                  <c:v>75.651621045701688</c:v>
                </c:pt>
                <c:pt idx="228">
                  <c:v>75.624747857108275</c:v>
                </c:pt>
                <c:pt idx="229">
                  <c:v>75.59794654697113</c:v>
                </c:pt>
                <c:pt idx="230">
                  <c:v>75.571217115290239</c:v>
                </c:pt>
                <c:pt idx="231">
                  <c:v>75.544559562065601</c:v>
                </c:pt>
                <c:pt idx="232">
                  <c:v>75.517973887297217</c:v>
                </c:pt>
                <c:pt idx="233">
                  <c:v>75.491460090985086</c:v>
                </c:pt>
                <c:pt idx="234">
                  <c:v>75.465018173129209</c:v>
                </c:pt>
                <c:pt idx="235">
                  <c:v>75.438648133729586</c:v>
                </c:pt>
                <c:pt idx="236">
                  <c:v>75.412349972786217</c:v>
                </c:pt>
                <c:pt idx="237">
                  <c:v>75.386123690299101</c:v>
                </c:pt>
                <c:pt idx="238">
                  <c:v>75.359969286268253</c:v>
                </c:pt>
                <c:pt idx="239">
                  <c:v>75.333886760693645</c:v>
                </c:pt>
                <c:pt idx="240">
                  <c:v>75.30787611357529</c:v>
                </c:pt>
                <c:pt idx="241">
                  <c:v>75.281937344913203</c:v>
                </c:pt>
                <c:pt idx="242">
                  <c:v>75.256070454707356</c:v>
                </c:pt>
                <c:pt idx="243">
                  <c:v>75.230275442957762</c:v>
                </c:pt>
                <c:pt idx="244">
                  <c:v>75.204552309664436</c:v>
                </c:pt>
                <c:pt idx="245">
                  <c:v>75.17890105482735</c:v>
                </c:pt>
                <c:pt idx="246">
                  <c:v>75.153321678446531</c:v>
                </c:pt>
                <c:pt idx="247">
                  <c:v>75.127814180521952</c:v>
                </c:pt>
                <c:pt idx="248">
                  <c:v>75.102378561053641</c:v>
                </c:pt>
                <c:pt idx="249">
                  <c:v>75.077014820041583</c:v>
                </c:pt>
                <c:pt idx="250">
                  <c:v>75.051722957485765</c:v>
                </c:pt>
                <c:pt idx="251">
                  <c:v>75.026517313462961</c:v>
                </c:pt>
                <c:pt idx="252">
                  <c:v>75.001412228049887</c:v>
                </c:pt>
                <c:pt idx="253">
                  <c:v>74.976407701246558</c:v>
                </c:pt>
                <c:pt idx="254">
                  <c:v>74.951503733052974</c:v>
                </c:pt>
                <c:pt idx="255">
                  <c:v>74.92670032346912</c:v>
                </c:pt>
                <c:pt idx="256">
                  <c:v>74.901997472495026</c:v>
                </c:pt>
                <c:pt idx="257">
                  <c:v>74.877395180130648</c:v>
                </c:pt>
                <c:pt idx="258">
                  <c:v>74.852893446376029</c:v>
                </c:pt>
                <c:pt idx="259">
                  <c:v>74.828492271231156</c:v>
                </c:pt>
                <c:pt idx="260">
                  <c:v>74.804191654696012</c:v>
                </c:pt>
                <c:pt idx="261">
                  <c:v>74.7799915967706</c:v>
                </c:pt>
                <c:pt idx="262">
                  <c:v>74.755892097454932</c:v>
                </c:pt>
                <c:pt idx="263">
                  <c:v>74.73189315674901</c:v>
                </c:pt>
                <c:pt idx="264">
                  <c:v>74.707994774652818</c:v>
                </c:pt>
                <c:pt idx="265">
                  <c:v>74.684196951166371</c:v>
                </c:pt>
                <c:pt idx="266">
                  <c:v>74.660499686289668</c:v>
                </c:pt>
                <c:pt idx="267">
                  <c:v>74.636902980022711</c:v>
                </c:pt>
                <c:pt idx="268">
                  <c:v>74.613406832365499</c:v>
                </c:pt>
                <c:pt idx="269">
                  <c:v>74.590011243318017</c:v>
                </c:pt>
                <c:pt idx="270">
                  <c:v>74.56671621288028</c:v>
                </c:pt>
                <c:pt idx="271">
                  <c:v>74.543521741052274</c:v>
                </c:pt>
                <c:pt idx="272">
                  <c:v>74.520427827834027</c:v>
                </c:pt>
                <c:pt idx="273">
                  <c:v>74.49743447322551</c:v>
                </c:pt>
                <c:pt idx="274">
                  <c:v>74.474541677226739</c:v>
                </c:pt>
                <c:pt idx="275">
                  <c:v>74.451749439837712</c:v>
                </c:pt>
                <c:pt idx="276">
                  <c:v>74.429057761058417</c:v>
                </c:pt>
                <c:pt idx="277">
                  <c:v>74.406466640888851</c:v>
                </c:pt>
                <c:pt idx="278">
                  <c:v>74.383976079329045</c:v>
                </c:pt>
                <c:pt idx="279">
                  <c:v>74.36158607637897</c:v>
                </c:pt>
                <c:pt idx="280">
                  <c:v>74.339296632038625</c:v>
                </c:pt>
                <c:pt idx="281">
                  <c:v>74.317107746308039</c:v>
                </c:pt>
                <c:pt idx="282">
                  <c:v>74.295019419187184</c:v>
                </c:pt>
                <c:pt idx="283">
                  <c:v>74.273031650676074</c:v>
                </c:pt>
                <c:pt idx="284">
                  <c:v>74.251144440774709</c:v>
                </c:pt>
                <c:pt idx="285">
                  <c:v>74.229357789483075</c:v>
                </c:pt>
                <c:pt idx="286">
                  <c:v>74.207671696801185</c:v>
                </c:pt>
                <c:pt idx="287">
                  <c:v>74.18608616272904</c:v>
                </c:pt>
                <c:pt idx="288">
                  <c:v>74.164601187266641</c:v>
                </c:pt>
                <c:pt idx="289">
                  <c:v>74.143216770413972</c:v>
                </c:pt>
                <c:pt idx="290">
                  <c:v>74.121932912171047</c:v>
                </c:pt>
                <c:pt idx="291">
                  <c:v>74.100749612537868</c:v>
                </c:pt>
                <c:pt idx="292">
                  <c:v>74.079666871514434</c:v>
                </c:pt>
                <c:pt idx="293">
                  <c:v>74.05868468910073</c:v>
                </c:pt>
                <c:pt idx="294">
                  <c:v>74.037803065296771</c:v>
                </c:pt>
                <c:pt idx="295">
                  <c:v>74.017022000102543</c:v>
                </c:pt>
                <c:pt idx="296">
                  <c:v>73.996341493518059</c:v>
                </c:pt>
                <c:pt idx="297">
                  <c:v>73.975761545543321</c:v>
                </c:pt>
                <c:pt idx="298">
                  <c:v>73.955437366206397</c:v>
                </c:pt>
                <c:pt idx="299">
                  <c:v>73.935524165535369</c:v>
                </c:pt>
                <c:pt idx="300">
                  <c:v>73.916021943530239</c:v>
                </c:pt>
                <c:pt idx="301">
                  <c:v>73.896930700191007</c:v>
                </c:pt>
                <c:pt idx="302">
                  <c:v>73.878250435517671</c:v>
                </c:pt>
                <c:pt idx="303">
                  <c:v>73.859981149510219</c:v>
                </c:pt>
                <c:pt idx="304">
                  <c:v>73.842122842168678</c:v>
                </c:pt>
                <c:pt idx="305">
                  <c:v>73.824675513493034</c:v>
                </c:pt>
                <c:pt idx="306">
                  <c:v>73.807639163483287</c:v>
                </c:pt>
                <c:pt idx="307">
                  <c:v>73.791013792139424</c:v>
                </c:pt>
                <c:pt idx="308">
                  <c:v>73.774799399461472</c:v>
                </c:pt>
                <c:pt idx="309">
                  <c:v>73.758995985449417</c:v>
                </c:pt>
                <c:pt idx="310">
                  <c:v>73.743603550103259</c:v>
                </c:pt>
                <c:pt idx="311">
                  <c:v>73.728622093422985</c:v>
                </c:pt>
                <c:pt idx="312">
                  <c:v>73.714051615408621</c:v>
                </c:pt>
                <c:pt idx="313">
                  <c:v>73.699892116060141</c:v>
                </c:pt>
                <c:pt idx="314">
                  <c:v>73.686143595377573</c:v>
                </c:pt>
                <c:pt idx="315">
                  <c:v>73.672806053360887</c:v>
                </c:pt>
                <c:pt idx="316">
                  <c:v>73.659879490010113</c:v>
                </c:pt>
                <c:pt idx="317">
                  <c:v>73.647363905325221</c:v>
                </c:pt>
                <c:pt idx="318">
                  <c:v>73.635259299306227</c:v>
                </c:pt>
                <c:pt idx="319">
                  <c:v>73.623565671953131</c:v>
                </c:pt>
                <c:pt idx="320">
                  <c:v>73.612283023265945</c:v>
                </c:pt>
                <c:pt idx="321">
                  <c:v>73.601349912568324</c:v>
                </c:pt>
                <c:pt idx="322">
                  <c:v>73.590704899183947</c:v>
                </c:pt>
                <c:pt idx="323">
                  <c:v>73.580347983112816</c:v>
                </c:pt>
                <c:pt idx="324">
                  <c:v>73.570279164354929</c:v>
                </c:pt>
                <c:pt idx="325">
                  <c:v>73.560498442910301</c:v>
                </c:pt>
                <c:pt idx="326">
                  <c:v>73.551005818778904</c:v>
                </c:pt>
                <c:pt idx="327">
                  <c:v>73.541801291960752</c:v>
                </c:pt>
                <c:pt idx="328">
                  <c:v>73.532884862455859</c:v>
                </c:pt>
                <c:pt idx="329">
                  <c:v>73.524256530264196</c:v>
                </c:pt>
                <c:pt idx="330">
                  <c:v>73.515916295385793</c:v>
                </c:pt>
                <c:pt idx="331">
                  <c:v>73.507864157820634</c:v>
                </c:pt>
                <c:pt idx="332">
                  <c:v>73.500100117568707</c:v>
                </c:pt>
                <c:pt idx="333">
                  <c:v>73.492624174630038</c:v>
                </c:pt>
                <c:pt idx="334">
                  <c:v>73.485436329004614</c:v>
                </c:pt>
                <c:pt idx="335">
                  <c:v>73.478536580692449</c:v>
                </c:pt>
                <c:pt idx="336">
                  <c:v>73.471924929693515</c:v>
                </c:pt>
                <c:pt idx="337">
                  <c:v>73.465601376007839</c:v>
                </c:pt>
                <c:pt idx="338">
                  <c:v>73.459565919635395</c:v>
                </c:pt>
                <c:pt idx="339">
                  <c:v>73.45381856057621</c:v>
                </c:pt>
                <c:pt idx="340">
                  <c:v>73.448359298830255</c:v>
                </c:pt>
                <c:pt idx="341">
                  <c:v>73.443188134397559</c:v>
                </c:pt>
                <c:pt idx="342">
                  <c:v>73.438305067278108</c:v>
                </c:pt>
                <c:pt idx="343">
                  <c:v>73.433710097471902</c:v>
                </c:pt>
                <c:pt idx="344">
                  <c:v>73.429403224978941</c:v>
                </c:pt>
                <c:pt idx="345">
                  <c:v>73.425384449799225</c:v>
                </c:pt>
                <c:pt idx="346">
                  <c:v>73.421653771932753</c:v>
                </c:pt>
                <c:pt idx="347">
                  <c:v>73.418211191379527</c:v>
                </c:pt>
                <c:pt idx="348">
                  <c:v>73.415050098311951</c:v>
                </c:pt>
                <c:pt idx="349">
                  <c:v>73.412163882902433</c:v>
                </c:pt>
                <c:pt idx="350">
                  <c:v>73.409552545150959</c:v>
                </c:pt>
                <c:pt idx="351">
                  <c:v>73.407216085057527</c:v>
                </c:pt>
                <c:pt idx="352">
                  <c:v>73.405154502622153</c:v>
                </c:pt>
                <c:pt idx="353">
                  <c:v>73.403367797844822</c:v>
                </c:pt>
                <c:pt idx="354">
                  <c:v>73.401855970725549</c:v>
                </c:pt>
                <c:pt idx="355">
                  <c:v>73.400619021264319</c:v>
                </c:pt>
                <c:pt idx="356">
                  <c:v>73.399656949461146</c:v>
                </c:pt>
                <c:pt idx="357">
                  <c:v>73.398969755316017</c:v>
                </c:pt>
                <c:pt idx="358">
                  <c:v>73.398557438828945</c:v>
                </c:pt>
                <c:pt idx="359">
                  <c:v>73.398419999999916</c:v>
                </c:pt>
                <c:pt idx="360">
                  <c:v>73.398419999999916</c:v>
                </c:pt>
                <c:pt idx="361">
                  <c:v>73.398419999999916</c:v>
                </c:pt>
                <c:pt idx="362">
                  <c:v>73.398419999999916</c:v>
                </c:pt>
                <c:pt idx="363">
                  <c:v>73.398419999999916</c:v>
                </c:pt>
                <c:pt idx="364">
                  <c:v>73.398419999999916</c:v>
                </c:pt>
                <c:pt idx="365">
                  <c:v>73.398419999999916</c:v>
                </c:pt>
                <c:pt idx="366">
                  <c:v>73.398419999999916</c:v>
                </c:pt>
                <c:pt idx="367">
                  <c:v>73.398419999999916</c:v>
                </c:pt>
                <c:pt idx="368">
                  <c:v>73.398419999999916</c:v>
                </c:pt>
                <c:pt idx="369">
                  <c:v>73.398419999999916</c:v>
                </c:pt>
                <c:pt idx="370">
                  <c:v>73.398419999999916</c:v>
                </c:pt>
                <c:pt idx="371">
                  <c:v>73.398419999999916</c:v>
                </c:pt>
                <c:pt idx="372">
                  <c:v>73.398419999999916</c:v>
                </c:pt>
                <c:pt idx="373">
                  <c:v>73.398419999999916</c:v>
                </c:pt>
                <c:pt idx="374">
                  <c:v>73.398419999999916</c:v>
                </c:pt>
                <c:pt idx="375">
                  <c:v>73.398419999999916</c:v>
                </c:pt>
                <c:pt idx="376">
                  <c:v>73.398419999999916</c:v>
                </c:pt>
                <c:pt idx="377">
                  <c:v>73.398419999999916</c:v>
                </c:pt>
                <c:pt idx="378">
                  <c:v>73.398419999999916</c:v>
                </c:pt>
                <c:pt idx="379">
                  <c:v>73.398419999999916</c:v>
                </c:pt>
                <c:pt idx="380">
                  <c:v>73.398419999999916</c:v>
                </c:pt>
                <c:pt idx="381">
                  <c:v>73.398419999999916</c:v>
                </c:pt>
                <c:pt idx="382">
                  <c:v>73.398419999999916</c:v>
                </c:pt>
                <c:pt idx="383">
                  <c:v>73.398419999999916</c:v>
                </c:pt>
                <c:pt idx="384">
                  <c:v>73.398419999999916</c:v>
                </c:pt>
                <c:pt idx="385">
                  <c:v>73.398419999999916</c:v>
                </c:pt>
                <c:pt idx="386">
                  <c:v>73.398419999999916</c:v>
                </c:pt>
                <c:pt idx="387">
                  <c:v>73.398419999999916</c:v>
                </c:pt>
                <c:pt idx="388">
                  <c:v>73.398419999999916</c:v>
                </c:pt>
                <c:pt idx="389">
                  <c:v>73.398419999999916</c:v>
                </c:pt>
                <c:pt idx="390">
                  <c:v>73.398419999999916</c:v>
                </c:pt>
                <c:pt idx="391">
                  <c:v>73.398419999999916</c:v>
                </c:pt>
                <c:pt idx="392">
                  <c:v>73.398419999999916</c:v>
                </c:pt>
                <c:pt idx="393">
                  <c:v>73.398419999999916</c:v>
                </c:pt>
                <c:pt idx="394">
                  <c:v>73.398419999999916</c:v>
                </c:pt>
                <c:pt idx="395">
                  <c:v>73.398419999999916</c:v>
                </c:pt>
                <c:pt idx="396">
                  <c:v>73.398419999999916</c:v>
                </c:pt>
                <c:pt idx="397">
                  <c:v>73.398419999999916</c:v>
                </c:pt>
                <c:pt idx="398">
                  <c:v>73.398419999999916</c:v>
                </c:pt>
                <c:pt idx="399">
                  <c:v>73.398419999999916</c:v>
                </c:pt>
                <c:pt idx="400">
                  <c:v>73.398419999999916</c:v>
                </c:pt>
                <c:pt idx="401">
                  <c:v>73.398419999999916</c:v>
                </c:pt>
                <c:pt idx="402">
                  <c:v>73.398419999999916</c:v>
                </c:pt>
                <c:pt idx="403">
                  <c:v>73.398419999999916</c:v>
                </c:pt>
                <c:pt idx="404">
                  <c:v>73.398419999999916</c:v>
                </c:pt>
                <c:pt idx="405">
                  <c:v>73.398419999999916</c:v>
                </c:pt>
                <c:pt idx="406">
                  <c:v>73.398419999999916</c:v>
                </c:pt>
                <c:pt idx="407">
                  <c:v>73.398419999999916</c:v>
                </c:pt>
                <c:pt idx="408">
                  <c:v>73.398419999999916</c:v>
                </c:pt>
                <c:pt idx="409">
                  <c:v>73.398419999999916</c:v>
                </c:pt>
                <c:pt idx="410">
                  <c:v>73.398419999999916</c:v>
                </c:pt>
                <c:pt idx="411">
                  <c:v>73.398419999999916</c:v>
                </c:pt>
                <c:pt idx="412">
                  <c:v>73.398419999999916</c:v>
                </c:pt>
                <c:pt idx="413">
                  <c:v>73.398419999999916</c:v>
                </c:pt>
                <c:pt idx="414">
                  <c:v>73.398419999999916</c:v>
                </c:pt>
                <c:pt idx="415">
                  <c:v>73.398419999999916</c:v>
                </c:pt>
                <c:pt idx="416">
                  <c:v>73.398419999999916</c:v>
                </c:pt>
                <c:pt idx="417">
                  <c:v>73.398419999999916</c:v>
                </c:pt>
                <c:pt idx="418">
                  <c:v>73.398419999999916</c:v>
                </c:pt>
                <c:pt idx="419">
                  <c:v>73.398419999999916</c:v>
                </c:pt>
                <c:pt idx="420">
                  <c:v>73.398419999999916</c:v>
                </c:pt>
                <c:pt idx="421">
                  <c:v>73.398419999999916</c:v>
                </c:pt>
                <c:pt idx="422">
                  <c:v>73.398419999999916</c:v>
                </c:pt>
                <c:pt idx="423">
                  <c:v>73.398419999999916</c:v>
                </c:pt>
                <c:pt idx="424">
                  <c:v>73.398419999999916</c:v>
                </c:pt>
                <c:pt idx="425">
                  <c:v>73.398419999999916</c:v>
                </c:pt>
                <c:pt idx="426">
                  <c:v>73.398419999999916</c:v>
                </c:pt>
                <c:pt idx="427">
                  <c:v>73.398419999999916</c:v>
                </c:pt>
                <c:pt idx="428">
                  <c:v>73.398419999999916</c:v>
                </c:pt>
                <c:pt idx="429">
                  <c:v>73.398419999999916</c:v>
                </c:pt>
                <c:pt idx="430">
                  <c:v>73.398419999999916</c:v>
                </c:pt>
                <c:pt idx="431">
                  <c:v>73.398419999999916</c:v>
                </c:pt>
                <c:pt idx="432">
                  <c:v>73.398419999999916</c:v>
                </c:pt>
                <c:pt idx="433">
                  <c:v>73.398419999999916</c:v>
                </c:pt>
                <c:pt idx="434">
                  <c:v>73.398419999999916</c:v>
                </c:pt>
                <c:pt idx="435">
                  <c:v>73.398419999999916</c:v>
                </c:pt>
                <c:pt idx="436">
                  <c:v>73.398419999999916</c:v>
                </c:pt>
                <c:pt idx="437">
                  <c:v>73.398419999999916</c:v>
                </c:pt>
                <c:pt idx="438">
                  <c:v>73.398419999999916</c:v>
                </c:pt>
                <c:pt idx="439">
                  <c:v>73.398419999999916</c:v>
                </c:pt>
                <c:pt idx="440">
                  <c:v>73.398419999999916</c:v>
                </c:pt>
                <c:pt idx="441">
                  <c:v>73.398419999999916</c:v>
                </c:pt>
                <c:pt idx="442">
                  <c:v>73.398419999999916</c:v>
                </c:pt>
                <c:pt idx="443">
                  <c:v>73.398419999999916</c:v>
                </c:pt>
                <c:pt idx="444">
                  <c:v>73.398419999999916</c:v>
                </c:pt>
                <c:pt idx="445">
                  <c:v>73.398419999999916</c:v>
                </c:pt>
                <c:pt idx="446">
                  <c:v>73.398419999999916</c:v>
                </c:pt>
                <c:pt idx="447">
                  <c:v>73.398419999999916</c:v>
                </c:pt>
                <c:pt idx="448">
                  <c:v>73.398419999999916</c:v>
                </c:pt>
                <c:pt idx="449">
                  <c:v>73.398419999999916</c:v>
                </c:pt>
                <c:pt idx="450">
                  <c:v>73.398419999999916</c:v>
                </c:pt>
                <c:pt idx="451">
                  <c:v>73.398419999999916</c:v>
                </c:pt>
                <c:pt idx="452">
                  <c:v>73.398419999999916</c:v>
                </c:pt>
                <c:pt idx="453">
                  <c:v>73.398419999999916</c:v>
                </c:pt>
                <c:pt idx="454">
                  <c:v>73.398419999999916</c:v>
                </c:pt>
                <c:pt idx="455">
                  <c:v>73.398419999999916</c:v>
                </c:pt>
                <c:pt idx="456">
                  <c:v>73.398419999999916</c:v>
                </c:pt>
                <c:pt idx="457">
                  <c:v>73.398419999999916</c:v>
                </c:pt>
                <c:pt idx="458">
                  <c:v>73.398419999999916</c:v>
                </c:pt>
                <c:pt idx="459">
                  <c:v>73.398419999999916</c:v>
                </c:pt>
                <c:pt idx="460">
                  <c:v>73.398419999999916</c:v>
                </c:pt>
                <c:pt idx="461">
                  <c:v>73.398419999999916</c:v>
                </c:pt>
                <c:pt idx="462">
                  <c:v>73.398419999999916</c:v>
                </c:pt>
                <c:pt idx="463">
                  <c:v>73.398419999999916</c:v>
                </c:pt>
                <c:pt idx="464">
                  <c:v>73.398419999999916</c:v>
                </c:pt>
                <c:pt idx="465">
                  <c:v>73.398419999999916</c:v>
                </c:pt>
                <c:pt idx="466">
                  <c:v>73.398419999999916</c:v>
                </c:pt>
                <c:pt idx="467">
                  <c:v>73.398419999999916</c:v>
                </c:pt>
                <c:pt idx="468">
                  <c:v>73.398419999999916</c:v>
                </c:pt>
                <c:pt idx="469">
                  <c:v>73.398419999999916</c:v>
                </c:pt>
                <c:pt idx="470">
                  <c:v>73.398419999999916</c:v>
                </c:pt>
                <c:pt idx="471">
                  <c:v>73.398419999999916</c:v>
                </c:pt>
                <c:pt idx="472">
                  <c:v>73.398419999999916</c:v>
                </c:pt>
                <c:pt idx="473">
                  <c:v>73.398419999999916</c:v>
                </c:pt>
                <c:pt idx="474">
                  <c:v>73.398419999999916</c:v>
                </c:pt>
                <c:pt idx="475">
                  <c:v>73.398419999999916</c:v>
                </c:pt>
                <c:pt idx="476">
                  <c:v>73.398419999999916</c:v>
                </c:pt>
                <c:pt idx="477">
                  <c:v>73.398419999999916</c:v>
                </c:pt>
                <c:pt idx="478">
                  <c:v>73.398419999999916</c:v>
                </c:pt>
                <c:pt idx="479">
                  <c:v>73.398419999999916</c:v>
                </c:pt>
                <c:pt idx="480">
                  <c:v>73.398419999999916</c:v>
                </c:pt>
                <c:pt idx="481">
                  <c:v>73.398419999999916</c:v>
                </c:pt>
                <c:pt idx="482">
                  <c:v>73.398419999999916</c:v>
                </c:pt>
                <c:pt idx="483">
                  <c:v>73.398419999999916</c:v>
                </c:pt>
                <c:pt idx="484">
                  <c:v>73.398419999999916</c:v>
                </c:pt>
                <c:pt idx="485">
                  <c:v>73.398419999999916</c:v>
                </c:pt>
                <c:pt idx="486">
                  <c:v>73.398419999999916</c:v>
                </c:pt>
                <c:pt idx="487">
                  <c:v>73.398419999999916</c:v>
                </c:pt>
                <c:pt idx="488">
                  <c:v>73.398419999999916</c:v>
                </c:pt>
                <c:pt idx="489">
                  <c:v>73.398419999999916</c:v>
                </c:pt>
                <c:pt idx="490">
                  <c:v>73.398419999999916</c:v>
                </c:pt>
                <c:pt idx="491">
                  <c:v>73.398419999999916</c:v>
                </c:pt>
                <c:pt idx="492">
                  <c:v>73.398419999999916</c:v>
                </c:pt>
                <c:pt idx="493">
                  <c:v>73.398419999999916</c:v>
                </c:pt>
                <c:pt idx="494">
                  <c:v>73.398419999999916</c:v>
                </c:pt>
                <c:pt idx="495">
                  <c:v>73.398419999999916</c:v>
                </c:pt>
                <c:pt idx="496">
                  <c:v>73.398419999999916</c:v>
                </c:pt>
                <c:pt idx="497">
                  <c:v>73.398419999999916</c:v>
                </c:pt>
                <c:pt idx="498">
                  <c:v>73.398419999999916</c:v>
                </c:pt>
                <c:pt idx="499">
                  <c:v>73.398419999999916</c:v>
                </c:pt>
                <c:pt idx="500">
                  <c:v>73.398419999999916</c:v>
                </c:pt>
                <c:pt idx="501">
                  <c:v>73.398419999999916</c:v>
                </c:pt>
                <c:pt idx="502">
                  <c:v>73.398419999999916</c:v>
                </c:pt>
                <c:pt idx="503">
                  <c:v>73.398419999999916</c:v>
                </c:pt>
                <c:pt idx="504">
                  <c:v>73.398419999999916</c:v>
                </c:pt>
                <c:pt idx="505">
                  <c:v>73.398419999999916</c:v>
                </c:pt>
                <c:pt idx="506">
                  <c:v>73.398419999999916</c:v>
                </c:pt>
                <c:pt idx="507">
                  <c:v>73.398419999999916</c:v>
                </c:pt>
                <c:pt idx="508">
                  <c:v>73.398419999999916</c:v>
                </c:pt>
                <c:pt idx="509">
                  <c:v>73.398419999999916</c:v>
                </c:pt>
                <c:pt idx="510">
                  <c:v>73.398419999999916</c:v>
                </c:pt>
                <c:pt idx="511">
                  <c:v>73.398419999999916</c:v>
                </c:pt>
                <c:pt idx="512">
                  <c:v>73.398419999999916</c:v>
                </c:pt>
                <c:pt idx="513">
                  <c:v>73.398419999999916</c:v>
                </c:pt>
                <c:pt idx="514">
                  <c:v>73.398419999999916</c:v>
                </c:pt>
                <c:pt idx="515">
                  <c:v>73.398419999999916</c:v>
                </c:pt>
                <c:pt idx="516">
                  <c:v>73.398419999999916</c:v>
                </c:pt>
                <c:pt idx="517">
                  <c:v>73.398419999999916</c:v>
                </c:pt>
                <c:pt idx="518">
                  <c:v>73.398419999999916</c:v>
                </c:pt>
                <c:pt idx="519">
                  <c:v>73.398419999999916</c:v>
                </c:pt>
                <c:pt idx="520">
                  <c:v>73.398419999999916</c:v>
                </c:pt>
                <c:pt idx="521">
                  <c:v>73.398419999999916</c:v>
                </c:pt>
                <c:pt idx="522">
                  <c:v>73.398419999999916</c:v>
                </c:pt>
                <c:pt idx="523">
                  <c:v>73.398419999999916</c:v>
                </c:pt>
                <c:pt idx="524">
                  <c:v>73.398419999999916</c:v>
                </c:pt>
                <c:pt idx="525">
                  <c:v>73.398419999999916</c:v>
                </c:pt>
                <c:pt idx="526">
                  <c:v>73.398419999999916</c:v>
                </c:pt>
                <c:pt idx="527">
                  <c:v>73.398419999999916</c:v>
                </c:pt>
                <c:pt idx="528">
                  <c:v>73.398419999999916</c:v>
                </c:pt>
                <c:pt idx="529">
                  <c:v>73.398419999999916</c:v>
                </c:pt>
                <c:pt idx="530">
                  <c:v>73.398419999999916</c:v>
                </c:pt>
                <c:pt idx="531">
                  <c:v>73.398419999999916</c:v>
                </c:pt>
                <c:pt idx="532">
                  <c:v>73.398419999999916</c:v>
                </c:pt>
                <c:pt idx="533">
                  <c:v>73.398419999999916</c:v>
                </c:pt>
                <c:pt idx="534">
                  <c:v>73.398419999999916</c:v>
                </c:pt>
                <c:pt idx="535">
                  <c:v>73.398419999999916</c:v>
                </c:pt>
                <c:pt idx="536">
                  <c:v>73.398419999999916</c:v>
                </c:pt>
                <c:pt idx="537">
                  <c:v>73.398419999999916</c:v>
                </c:pt>
                <c:pt idx="538">
                  <c:v>73.398419999999916</c:v>
                </c:pt>
                <c:pt idx="539">
                  <c:v>73.398419999999916</c:v>
                </c:pt>
                <c:pt idx="540">
                  <c:v>73.398419999999916</c:v>
                </c:pt>
                <c:pt idx="541">
                  <c:v>73.398419999999916</c:v>
                </c:pt>
                <c:pt idx="542">
                  <c:v>73.398419999999916</c:v>
                </c:pt>
                <c:pt idx="543">
                  <c:v>73.398419999999916</c:v>
                </c:pt>
                <c:pt idx="544">
                  <c:v>73.398419999999916</c:v>
                </c:pt>
                <c:pt idx="545">
                  <c:v>73.398419999999916</c:v>
                </c:pt>
                <c:pt idx="546">
                  <c:v>73.398419999999916</c:v>
                </c:pt>
                <c:pt idx="547">
                  <c:v>73.398419999999916</c:v>
                </c:pt>
                <c:pt idx="548">
                  <c:v>73.398419999999916</c:v>
                </c:pt>
                <c:pt idx="549">
                  <c:v>73.398419999999916</c:v>
                </c:pt>
                <c:pt idx="550">
                  <c:v>73.398419999999916</c:v>
                </c:pt>
                <c:pt idx="551">
                  <c:v>73.398419999999916</c:v>
                </c:pt>
                <c:pt idx="552">
                  <c:v>73.398419999999916</c:v>
                </c:pt>
                <c:pt idx="553">
                  <c:v>73.398419999999916</c:v>
                </c:pt>
                <c:pt idx="554">
                  <c:v>73.398419999999916</c:v>
                </c:pt>
                <c:pt idx="555">
                  <c:v>73.398419999999916</c:v>
                </c:pt>
                <c:pt idx="556">
                  <c:v>73.398419999999916</c:v>
                </c:pt>
                <c:pt idx="557">
                  <c:v>73.398419999999916</c:v>
                </c:pt>
                <c:pt idx="558">
                  <c:v>73.398419999999916</c:v>
                </c:pt>
                <c:pt idx="559">
                  <c:v>73.398419999999916</c:v>
                </c:pt>
                <c:pt idx="560">
                  <c:v>73.398419999999916</c:v>
                </c:pt>
                <c:pt idx="561">
                  <c:v>73.398419999999916</c:v>
                </c:pt>
                <c:pt idx="562">
                  <c:v>73.398419999999916</c:v>
                </c:pt>
                <c:pt idx="563">
                  <c:v>73.398419999999916</c:v>
                </c:pt>
                <c:pt idx="564">
                  <c:v>73.398419999999916</c:v>
                </c:pt>
                <c:pt idx="565">
                  <c:v>73.398419999999916</c:v>
                </c:pt>
                <c:pt idx="566">
                  <c:v>73.398419999999916</c:v>
                </c:pt>
                <c:pt idx="567">
                  <c:v>73.398419999999916</c:v>
                </c:pt>
                <c:pt idx="568">
                  <c:v>73.398419999999916</c:v>
                </c:pt>
                <c:pt idx="569">
                  <c:v>73.398419999999916</c:v>
                </c:pt>
                <c:pt idx="570">
                  <c:v>73.398419999999916</c:v>
                </c:pt>
                <c:pt idx="571">
                  <c:v>73.398419999999916</c:v>
                </c:pt>
                <c:pt idx="572">
                  <c:v>73.398419999999916</c:v>
                </c:pt>
                <c:pt idx="573">
                  <c:v>73.398419999999916</c:v>
                </c:pt>
                <c:pt idx="574">
                  <c:v>73.398419999999916</c:v>
                </c:pt>
                <c:pt idx="575">
                  <c:v>73.398419999999916</c:v>
                </c:pt>
                <c:pt idx="576">
                  <c:v>73.398419999999916</c:v>
                </c:pt>
                <c:pt idx="577">
                  <c:v>73.398419999999916</c:v>
                </c:pt>
                <c:pt idx="578">
                  <c:v>73.398419999999916</c:v>
                </c:pt>
                <c:pt idx="579">
                  <c:v>73.398419999999916</c:v>
                </c:pt>
                <c:pt idx="580">
                  <c:v>73.398419999999916</c:v>
                </c:pt>
                <c:pt idx="581">
                  <c:v>73.398419999999916</c:v>
                </c:pt>
                <c:pt idx="582">
                  <c:v>73.398419999999916</c:v>
                </c:pt>
                <c:pt idx="583">
                  <c:v>73.398419999999916</c:v>
                </c:pt>
                <c:pt idx="584">
                  <c:v>73.398419999999916</c:v>
                </c:pt>
                <c:pt idx="585">
                  <c:v>73.398419999999916</c:v>
                </c:pt>
                <c:pt idx="586">
                  <c:v>73.398419999999916</c:v>
                </c:pt>
                <c:pt idx="587">
                  <c:v>73.398419999999916</c:v>
                </c:pt>
                <c:pt idx="588">
                  <c:v>73.398419999999916</c:v>
                </c:pt>
                <c:pt idx="589">
                  <c:v>73.398419999999916</c:v>
                </c:pt>
                <c:pt idx="590">
                  <c:v>73.398419999999916</c:v>
                </c:pt>
                <c:pt idx="591">
                  <c:v>73.398419999999916</c:v>
                </c:pt>
                <c:pt idx="592">
                  <c:v>73.398419999999916</c:v>
                </c:pt>
                <c:pt idx="593">
                  <c:v>73.398419999999916</c:v>
                </c:pt>
                <c:pt idx="594">
                  <c:v>73.398419999999916</c:v>
                </c:pt>
                <c:pt idx="595">
                  <c:v>73.398419999999916</c:v>
                </c:pt>
                <c:pt idx="596">
                  <c:v>73.398419999999916</c:v>
                </c:pt>
                <c:pt idx="597">
                  <c:v>73.398419999999916</c:v>
                </c:pt>
                <c:pt idx="598">
                  <c:v>73.398419999999916</c:v>
                </c:pt>
                <c:pt idx="599">
                  <c:v>73.398419999999916</c:v>
                </c:pt>
                <c:pt idx="600">
                  <c:v>73.398419999999916</c:v>
                </c:pt>
                <c:pt idx="601">
                  <c:v>73.398419999999916</c:v>
                </c:pt>
                <c:pt idx="602">
                  <c:v>73.398419999999916</c:v>
                </c:pt>
                <c:pt idx="603">
                  <c:v>73.398419999999916</c:v>
                </c:pt>
                <c:pt idx="604">
                  <c:v>73.398419999999916</c:v>
                </c:pt>
                <c:pt idx="605">
                  <c:v>73.398419999999916</c:v>
                </c:pt>
                <c:pt idx="606">
                  <c:v>73.398419999999916</c:v>
                </c:pt>
                <c:pt idx="607">
                  <c:v>73.398419999999916</c:v>
                </c:pt>
                <c:pt idx="608">
                  <c:v>73.398419999999916</c:v>
                </c:pt>
                <c:pt idx="609">
                  <c:v>73.398419999999916</c:v>
                </c:pt>
                <c:pt idx="610">
                  <c:v>73.398419999999916</c:v>
                </c:pt>
                <c:pt idx="611">
                  <c:v>73.398419999999916</c:v>
                </c:pt>
                <c:pt idx="612">
                  <c:v>73.398419999999916</c:v>
                </c:pt>
                <c:pt idx="613">
                  <c:v>73.398419999999916</c:v>
                </c:pt>
                <c:pt idx="614">
                  <c:v>73.398419999999916</c:v>
                </c:pt>
                <c:pt idx="615">
                  <c:v>73.398419999999916</c:v>
                </c:pt>
                <c:pt idx="616">
                  <c:v>73.398419999999916</c:v>
                </c:pt>
                <c:pt idx="617">
                  <c:v>73.398419999999916</c:v>
                </c:pt>
                <c:pt idx="618">
                  <c:v>73.398419999999916</c:v>
                </c:pt>
                <c:pt idx="619">
                  <c:v>73.398419999999916</c:v>
                </c:pt>
                <c:pt idx="620">
                  <c:v>73.398419999999916</c:v>
                </c:pt>
                <c:pt idx="621">
                  <c:v>73.398419999999916</c:v>
                </c:pt>
                <c:pt idx="622">
                  <c:v>73.398419999999916</c:v>
                </c:pt>
                <c:pt idx="623">
                  <c:v>73.398419999999916</c:v>
                </c:pt>
                <c:pt idx="624">
                  <c:v>73.398419999999916</c:v>
                </c:pt>
                <c:pt idx="625">
                  <c:v>73.398419999999916</c:v>
                </c:pt>
                <c:pt idx="626">
                  <c:v>73.398419999999916</c:v>
                </c:pt>
                <c:pt idx="627">
                  <c:v>73.398419999999916</c:v>
                </c:pt>
                <c:pt idx="628">
                  <c:v>73.398419999999916</c:v>
                </c:pt>
                <c:pt idx="629">
                  <c:v>73.398419999999916</c:v>
                </c:pt>
                <c:pt idx="630">
                  <c:v>73.398419999999916</c:v>
                </c:pt>
                <c:pt idx="631">
                  <c:v>73.398419999999916</c:v>
                </c:pt>
                <c:pt idx="632">
                  <c:v>73.398419999999916</c:v>
                </c:pt>
                <c:pt idx="633">
                  <c:v>73.398419999999916</c:v>
                </c:pt>
                <c:pt idx="634">
                  <c:v>73.398419999999916</c:v>
                </c:pt>
                <c:pt idx="635">
                  <c:v>73.398419999999916</c:v>
                </c:pt>
                <c:pt idx="636">
                  <c:v>73.398419999999916</c:v>
                </c:pt>
                <c:pt idx="637">
                  <c:v>73.398419999999916</c:v>
                </c:pt>
                <c:pt idx="638">
                  <c:v>73.398419999999916</c:v>
                </c:pt>
                <c:pt idx="639">
                  <c:v>73.398419999999916</c:v>
                </c:pt>
                <c:pt idx="640">
                  <c:v>73.398419999999916</c:v>
                </c:pt>
                <c:pt idx="641">
                  <c:v>73.398419999999916</c:v>
                </c:pt>
                <c:pt idx="642">
                  <c:v>73.398419999999916</c:v>
                </c:pt>
                <c:pt idx="643">
                  <c:v>73.398419999999916</c:v>
                </c:pt>
                <c:pt idx="644">
                  <c:v>73.398419999999916</c:v>
                </c:pt>
                <c:pt idx="645">
                  <c:v>73.398419999999916</c:v>
                </c:pt>
                <c:pt idx="646">
                  <c:v>73.398419999999916</c:v>
                </c:pt>
                <c:pt idx="647">
                  <c:v>73.398419999999916</c:v>
                </c:pt>
                <c:pt idx="648">
                  <c:v>73.398419999999916</c:v>
                </c:pt>
                <c:pt idx="649">
                  <c:v>73.398419999999916</c:v>
                </c:pt>
                <c:pt idx="650">
                  <c:v>73.398419999999916</c:v>
                </c:pt>
                <c:pt idx="651">
                  <c:v>73.398419999999916</c:v>
                </c:pt>
                <c:pt idx="652">
                  <c:v>73.398419999999916</c:v>
                </c:pt>
                <c:pt idx="653">
                  <c:v>73.398419999999916</c:v>
                </c:pt>
                <c:pt idx="654">
                  <c:v>73.398419999999916</c:v>
                </c:pt>
                <c:pt idx="655">
                  <c:v>73.398419999999916</c:v>
                </c:pt>
                <c:pt idx="656">
                  <c:v>73.398419999999916</c:v>
                </c:pt>
                <c:pt idx="657">
                  <c:v>73.398419999999916</c:v>
                </c:pt>
                <c:pt idx="658">
                  <c:v>73.398419999999916</c:v>
                </c:pt>
                <c:pt idx="659">
                  <c:v>73.398419999999916</c:v>
                </c:pt>
                <c:pt idx="660">
                  <c:v>73.398419999999916</c:v>
                </c:pt>
                <c:pt idx="661">
                  <c:v>73.398419999999916</c:v>
                </c:pt>
                <c:pt idx="662">
                  <c:v>73.398419999999916</c:v>
                </c:pt>
                <c:pt idx="663">
                  <c:v>73.398419999999916</c:v>
                </c:pt>
                <c:pt idx="664">
                  <c:v>73.398419999999916</c:v>
                </c:pt>
                <c:pt idx="665">
                  <c:v>73.398419999999916</c:v>
                </c:pt>
                <c:pt idx="666">
                  <c:v>73.398419999999916</c:v>
                </c:pt>
                <c:pt idx="667">
                  <c:v>73.398419999999916</c:v>
                </c:pt>
                <c:pt idx="668">
                  <c:v>73.398419999999916</c:v>
                </c:pt>
                <c:pt idx="669">
                  <c:v>73.398419999999916</c:v>
                </c:pt>
                <c:pt idx="670">
                  <c:v>73.398419999999916</c:v>
                </c:pt>
                <c:pt idx="671">
                  <c:v>73.398419999999916</c:v>
                </c:pt>
                <c:pt idx="672">
                  <c:v>73.398419999999916</c:v>
                </c:pt>
                <c:pt idx="673">
                  <c:v>73.398419999999916</c:v>
                </c:pt>
                <c:pt idx="674">
                  <c:v>73.398419999999916</c:v>
                </c:pt>
                <c:pt idx="675">
                  <c:v>73.398419999999916</c:v>
                </c:pt>
                <c:pt idx="676">
                  <c:v>73.398419999999916</c:v>
                </c:pt>
                <c:pt idx="677">
                  <c:v>73.398419999999916</c:v>
                </c:pt>
                <c:pt idx="678">
                  <c:v>73.398419999999916</c:v>
                </c:pt>
                <c:pt idx="679">
                  <c:v>73.398419999999916</c:v>
                </c:pt>
                <c:pt idx="680">
                  <c:v>73.398419999999916</c:v>
                </c:pt>
                <c:pt idx="681">
                  <c:v>73.398419999999916</c:v>
                </c:pt>
                <c:pt idx="682">
                  <c:v>73.398419999999916</c:v>
                </c:pt>
                <c:pt idx="683">
                  <c:v>73.398419999999916</c:v>
                </c:pt>
                <c:pt idx="684">
                  <c:v>73.398419999999916</c:v>
                </c:pt>
                <c:pt idx="685">
                  <c:v>73.398419999999916</c:v>
                </c:pt>
                <c:pt idx="686">
                  <c:v>73.398419999999916</c:v>
                </c:pt>
                <c:pt idx="687">
                  <c:v>73.398419999999916</c:v>
                </c:pt>
                <c:pt idx="688">
                  <c:v>73.398419999999916</c:v>
                </c:pt>
                <c:pt idx="689">
                  <c:v>73.398419999999916</c:v>
                </c:pt>
                <c:pt idx="690">
                  <c:v>73.398419999999916</c:v>
                </c:pt>
                <c:pt idx="691">
                  <c:v>73.398419999999916</c:v>
                </c:pt>
                <c:pt idx="692">
                  <c:v>73.398419999999916</c:v>
                </c:pt>
                <c:pt idx="693">
                  <c:v>73.398419999999916</c:v>
                </c:pt>
                <c:pt idx="694">
                  <c:v>73.398419999999916</c:v>
                </c:pt>
                <c:pt idx="695">
                  <c:v>73.398419999999916</c:v>
                </c:pt>
                <c:pt idx="696">
                  <c:v>73.398419999999916</c:v>
                </c:pt>
                <c:pt idx="697">
                  <c:v>73.398419999999916</c:v>
                </c:pt>
                <c:pt idx="698">
                  <c:v>73.398419999999916</c:v>
                </c:pt>
                <c:pt idx="699">
                  <c:v>73.398419999999916</c:v>
                </c:pt>
                <c:pt idx="700">
                  <c:v>73.398419999999916</c:v>
                </c:pt>
                <c:pt idx="701">
                  <c:v>73.398419999999916</c:v>
                </c:pt>
                <c:pt idx="702">
                  <c:v>73.398419999999916</c:v>
                </c:pt>
                <c:pt idx="703">
                  <c:v>73.398419999999916</c:v>
                </c:pt>
                <c:pt idx="704">
                  <c:v>73.398419999999916</c:v>
                </c:pt>
                <c:pt idx="705">
                  <c:v>73.398419999999916</c:v>
                </c:pt>
                <c:pt idx="706">
                  <c:v>73.398419999999916</c:v>
                </c:pt>
                <c:pt idx="707">
                  <c:v>73.398419999999916</c:v>
                </c:pt>
                <c:pt idx="708">
                  <c:v>73.398419999999916</c:v>
                </c:pt>
                <c:pt idx="709">
                  <c:v>73.398419999999916</c:v>
                </c:pt>
                <c:pt idx="710">
                  <c:v>73.398419999999916</c:v>
                </c:pt>
                <c:pt idx="711">
                  <c:v>73.398419999999916</c:v>
                </c:pt>
                <c:pt idx="712">
                  <c:v>73.398419999999916</c:v>
                </c:pt>
                <c:pt idx="713">
                  <c:v>73.398419999999916</c:v>
                </c:pt>
                <c:pt idx="714">
                  <c:v>73.398419999999916</c:v>
                </c:pt>
                <c:pt idx="715">
                  <c:v>73.398419999999916</c:v>
                </c:pt>
                <c:pt idx="716">
                  <c:v>73.398419999999916</c:v>
                </c:pt>
                <c:pt idx="717">
                  <c:v>73.398419999999916</c:v>
                </c:pt>
                <c:pt idx="718">
                  <c:v>73.398419999999916</c:v>
                </c:pt>
                <c:pt idx="719">
                  <c:v>73.398419999999916</c:v>
                </c:pt>
                <c:pt idx="720">
                  <c:v>73.398419999999916</c:v>
                </c:pt>
                <c:pt idx="721">
                  <c:v>73.398419999999916</c:v>
                </c:pt>
                <c:pt idx="722">
                  <c:v>73.398419999999916</c:v>
                </c:pt>
                <c:pt idx="723">
                  <c:v>73.398419999999916</c:v>
                </c:pt>
                <c:pt idx="724">
                  <c:v>73.398419999999916</c:v>
                </c:pt>
                <c:pt idx="725">
                  <c:v>73.398419999999916</c:v>
                </c:pt>
                <c:pt idx="726">
                  <c:v>73.398419999999916</c:v>
                </c:pt>
                <c:pt idx="727">
                  <c:v>73.398419999999916</c:v>
                </c:pt>
                <c:pt idx="728">
                  <c:v>73.398419999999916</c:v>
                </c:pt>
                <c:pt idx="729">
                  <c:v>73.398419999999916</c:v>
                </c:pt>
                <c:pt idx="730">
                  <c:v>73.398419999999916</c:v>
                </c:pt>
                <c:pt idx="731">
                  <c:v>73.398419999999916</c:v>
                </c:pt>
                <c:pt idx="732">
                  <c:v>73.398419999999916</c:v>
                </c:pt>
                <c:pt idx="733">
                  <c:v>73.398419999999916</c:v>
                </c:pt>
                <c:pt idx="734">
                  <c:v>73.398419999999916</c:v>
                </c:pt>
                <c:pt idx="735">
                  <c:v>73.398419999999916</c:v>
                </c:pt>
                <c:pt idx="736">
                  <c:v>73.398419999999916</c:v>
                </c:pt>
                <c:pt idx="737">
                  <c:v>73.398419999999916</c:v>
                </c:pt>
                <c:pt idx="738">
                  <c:v>73.398419999999916</c:v>
                </c:pt>
                <c:pt idx="739">
                  <c:v>73.398419999999916</c:v>
                </c:pt>
                <c:pt idx="740">
                  <c:v>73.398419999999916</c:v>
                </c:pt>
                <c:pt idx="741">
                  <c:v>73.398419999999916</c:v>
                </c:pt>
                <c:pt idx="742">
                  <c:v>73.398419999999916</c:v>
                </c:pt>
                <c:pt idx="743">
                  <c:v>73.398419999999916</c:v>
                </c:pt>
                <c:pt idx="744">
                  <c:v>73.398419999999916</c:v>
                </c:pt>
                <c:pt idx="745">
                  <c:v>73.398419999999916</c:v>
                </c:pt>
                <c:pt idx="746">
                  <c:v>73.398419999999916</c:v>
                </c:pt>
                <c:pt idx="747">
                  <c:v>73.398419999999916</c:v>
                </c:pt>
                <c:pt idx="748">
                  <c:v>73.398419999999916</c:v>
                </c:pt>
                <c:pt idx="749">
                  <c:v>73.398419999999916</c:v>
                </c:pt>
                <c:pt idx="750">
                  <c:v>73.398419999999916</c:v>
                </c:pt>
                <c:pt idx="751">
                  <c:v>73.398419999999916</c:v>
                </c:pt>
                <c:pt idx="752">
                  <c:v>73.398419999999916</c:v>
                </c:pt>
                <c:pt idx="753">
                  <c:v>73.398419999999916</c:v>
                </c:pt>
                <c:pt idx="754">
                  <c:v>73.398419999999916</c:v>
                </c:pt>
                <c:pt idx="755">
                  <c:v>73.398419999999916</c:v>
                </c:pt>
                <c:pt idx="756">
                  <c:v>73.398419999999916</c:v>
                </c:pt>
                <c:pt idx="757">
                  <c:v>73.398419999999916</c:v>
                </c:pt>
                <c:pt idx="758">
                  <c:v>73.398419999999916</c:v>
                </c:pt>
                <c:pt idx="759">
                  <c:v>73.398419999999916</c:v>
                </c:pt>
                <c:pt idx="760">
                  <c:v>73.398419999999916</c:v>
                </c:pt>
                <c:pt idx="761">
                  <c:v>73.398419999999916</c:v>
                </c:pt>
                <c:pt idx="762">
                  <c:v>73.398419999999916</c:v>
                </c:pt>
                <c:pt idx="763">
                  <c:v>73.398419999999916</c:v>
                </c:pt>
                <c:pt idx="764">
                  <c:v>73.398419999999916</c:v>
                </c:pt>
                <c:pt idx="765">
                  <c:v>73.398419999999916</c:v>
                </c:pt>
                <c:pt idx="766">
                  <c:v>73.398419999999916</c:v>
                </c:pt>
                <c:pt idx="767">
                  <c:v>73.398419999999916</c:v>
                </c:pt>
                <c:pt idx="768">
                  <c:v>73.398419999999916</c:v>
                </c:pt>
                <c:pt idx="769">
                  <c:v>73.398419999999916</c:v>
                </c:pt>
                <c:pt idx="770">
                  <c:v>73.398419999999916</c:v>
                </c:pt>
                <c:pt idx="771">
                  <c:v>73.398419999999916</c:v>
                </c:pt>
                <c:pt idx="772">
                  <c:v>73.398419999999916</c:v>
                </c:pt>
                <c:pt idx="773">
                  <c:v>73.398419999999916</c:v>
                </c:pt>
                <c:pt idx="774">
                  <c:v>73.398419999999916</c:v>
                </c:pt>
                <c:pt idx="775">
                  <c:v>73.398419999999916</c:v>
                </c:pt>
                <c:pt idx="776">
                  <c:v>73.398419999999916</c:v>
                </c:pt>
                <c:pt idx="777">
                  <c:v>73.398419999999916</c:v>
                </c:pt>
                <c:pt idx="778">
                  <c:v>73.398419999999916</c:v>
                </c:pt>
                <c:pt idx="779">
                  <c:v>73.398419999999916</c:v>
                </c:pt>
                <c:pt idx="780">
                  <c:v>73.398419999999916</c:v>
                </c:pt>
                <c:pt idx="781">
                  <c:v>73.398419999999916</c:v>
                </c:pt>
                <c:pt idx="782">
                  <c:v>73.398419999999916</c:v>
                </c:pt>
                <c:pt idx="783">
                  <c:v>73.398419999999916</c:v>
                </c:pt>
                <c:pt idx="784">
                  <c:v>73.398419999999916</c:v>
                </c:pt>
                <c:pt idx="785">
                  <c:v>73.398419999999916</c:v>
                </c:pt>
                <c:pt idx="786">
                  <c:v>73.398419999999916</c:v>
                </c:pt>
                <c:pt idx="787">
                  <c:v>73.398419999999916</c:v>
                </c:pt>
                <c:pt idx="788">
                  <c:v>73.398419999999916</c:v>
                </c:pt>
                <c:pt idx="789">
                  <c:v>73.398419999999916</c:v>
                </c:pt>
                <c:pt idx="790">
                  <c:v>73.398419999999916</c:v>
                </c:pt>
                <c:pt idx="791">
                  <c:v>73.398419999999916</c:v>
                </c:pt>
                <c:pt idx="792">
                  <c:v>73.398419999999916</c:v>
                </c:pt>
                <c:pt idx="793">
                  <c:v>73.398419999999916</c:v>
                </c:pt>
                <c:pt idx="794">
                  <c:v>73.398419999999916</c:v>
                </c:pt>
                <c:pt idx="795">
                  <c:v>73.398419999999916</c:v>
                </c:pt>
                <c:pt idx="796">
                  <c:v>73.398419999999916</c:v>
                </c:pt>
                <c:pt idx="797">
                  <c:v>73.398419999999916</c:v>
                </c:pt>
                <c:pt idx="798">
                  <c:v>73.398419999999916</c:v>
                </c:pt>
                <c:pt idx="799">
                  <c:v>73.398419999999916</c:v>
                </c:pt>
                <c:pt idx="800">
                  <c:v>73.398419999999916</c:v>
                </c:pt>
                <c:pt idx="801">
                  <c:v>73.398419999999916</c:v>
                </c:pt>
                <c:pt idx="802">
                  <c:v>73.398419999999916</c:v>
                </c:pt>
                <c:pt idx="803">
                  <c:v>73.398419999999916</c:v>
                </c:pt>
                <c:pt idx="804">
                  <c:v>73.398419999999916</c:v>
                </c:pt>
                <c:pt idx="805">
                  <c:v>73.398419999999916</c:v>
                </c:pt>
                <c:pt idx="806">
                  <c:v>73.398419999999916</c:v>
                </c:pt>
                <c:pt idx="807">
                  <c:v>73.398419999999916</c:v>
                </c:pt>
                <c:pt idx="808">
                  <c:v>73.398419999999916</c:v>
                </c:pt>
                <c:pt idx="809">
                  <c:v>73.398419999999916</c:v>
                </c:pt>
                <c:pt idx="810">
                  <c:v>73.398419999999916</c:v>
                </c:pt>
                <c:pt idx="811">
                  <c:v>73.398419999999916</c:v>
                </c:pt>
                <c:pt idx="812">
                  <c:v>73.398419999999916</c:v>
                </c:pt>
                <c:pt idx="813">
                  <c:v>73.398419999999916</c:v>
                </c:pt>
                <c:pt idx="814">
                  <c:v>73.398419999999916</c:v>
                </c:pt>
                <c:pt idx="815">
                  <c:v>73.398419999999916</c:v>
                </c:pt>
                <c:pt idx="816">
                  <c:v>73.398419999999916</c:v>
                </c:pt>
                <c:pt idx="817">
                  <c:v>73.398419999999916</c:v>
                </c:pt>
                <c:pt idx="818">
                  <c:v>73.398419999999916</c:v>
                </c:pt>
                <c:pt idx="819">
                  <c:v>73.398419999999916</c:v>
                </c:pt>
                <c:pt idx="820">
                  <c:v>73.398419999999916</c:v>
                </c:pt>
                <c:pt idx="821">
                  <c:v>73.398419999999916</c:v>
                </c:pt>
                <c:pt idx="822">
                  <c:v>73.398419999999916</c:v>
                </c:pt>
                <c:pt idx="823">
                  <c:v>73.398419999999916</c:v>
                </c:pt>
                <c:pt idx="824">
                  <c:v>73.398419999999916</c:v>
                </c:pt>
                <c:pt idx="825">
                  <c:v>73.398419999999916</c:v>
                </c:pt>
                <c:pt idx="826">
                  <c:v>73.398419999999916</c:v>
                </c:pt>
                <c:pt idx="827">
                  <c:v>73.398419999999916</c:v>
                </c:pt>
                <c:pt idx="828">
                  <c:v>73.398419999999916</c:v>
                </c:pt>
                <c:pt idx="829">
                  <c:v>73.398419999999916</c:v>
                </c:pt>
                <c:pt idx="830">
                  <c:v>73.398419999999916</c:v>
                </c:pt>
                <c:pt idx="831">
                  <c:v>73.398419999999916</c:v>
                </c:pt>
                <c:pt idx="832">
                  <c:v>73.398419999999916</c:v>
                </c:pt>
                <c:pt idx="833">
                  <c:v>73.398419999999916</c:v>
                </c:pt>
                <c:pt idx="834">
                  <c:v>73.398419999999916</c:v>
                </c:pt>
                <c:pt idx="835">
                  <c:v>73.398419999999916</c:v>
                </c:pt>
                <c:pt idx="836">
                  <c:v>73.398419999999916</c:v>
                </c:pt>
                <c:pt idx="837">
                  <c:v>73.398419999999916</c:v>
                </c:pt>
                <c:pt idx="838">
                  <c:v>73.398419999999916</c:v>
                </c:pt>
                <c:pt idx="839">
                  <c:v>73.398419999999916</c:v>
                </c:pt>
                <c:pt idx="840">
                  <c:v>73.398419999999916</c:v>
                </c:pt>
                <c:pt idx="841">
                  <c:v>73.398419999999916</c:v>
                </c:pt>
                <c:pt idx="842">
                  <c:v>73.398419999999916</c:v>
                </c:pt>
                <c:pt idx="843">
                  <c:v>73.398419999999916</c:v>
                </c:pt>
                <c:pt idx="844">
                  <c:v>73.398419999999916</c:v>
                </c:pt>
                <c:pt idx="845">
                  <c:v>73.398419999999916</c:v>
                </c:pt>
                <c:pt idx="846">
                  <c:v>73.398419999999916</c:v>
                </c:pt>
                <c:pt idx="847">
                  <c:v>73.398419999999916</c:v>
                </c:pt>
                <c:pt idx="848">
                  <c:v>73.398419999999916</c:v>
                </c:pt>
                <c:pt idx="849">
                  <c:v>73.398419999999916</c:v>
                </c:pt>
                <c:pt idx="850">
                  <c:v>73.398419999999916</c:v>
                </c:pt>
                <c:pt idx="851">
                  <c:v>73.398419999999916</c:v>
                </c:pt>
                <c:pt idx="852">
                  <c:v>73.398419999999916</c:v>
                </c:pt>
                <c:pt idx="853">
                  <c:v>73.398419999999916</c:v>
                </c:pt>
                <c:pt idx="854">
                  <c:v>73.398419999999916</c:v>
                </c:pt>
                <c:pt idx="855">
                  <c:v>73.398419999999916</c:v>
                </c:pt>
                <c:pt idx="856">
                  <c:v>73.398419999999916</c:v>
                </c:pt>
                <c:pt idx="857">
                  <c:v>73.398419999999916</c:v>
                </c:pt>
                <c:pt idx="858">
                  <c:v>73.398419999999916</c:v>
                </c:pt>
                <c:pt idx="859">
                  <c:v>73.398419999999916</c:v>
                </c:pt>
                <c:pt idx="860">
                  <c:v>73.398419999999916</c:v>
                </c:pt>
                <c:pt idx="861">
                  <c:v>73.398419999999916</c:v>
                </c:pt>
                <c:pt idx="862">
                  <c:v>73.398419999999916</c:v>
                </c:pt>
                <c:pt idx="863">
                  <c:v>73.398419999999916</c:v>
                </c:pt>
                <c:pt idx="864">
                  <c:v>73.398419999999916</c:v>
                </c:pt>
                <c:pt idx="865">
                  <c:v>73.398419999999916</c:v>
                </c:pt>
                <c:pt idx="866">
                  <c:v>73.398419999999916</c:v>
                </c:pt>
                <c:pt idx="867">
                  <c:v>73.398419999999916</c:v>
                </c:pt>
                <c:pt idx="868">
                  <c:v>73.398419999999916</c:v>
                </c:pt>
                <c:pt idx="869">
                  <c:v>73.398419999999916</c:v>
                </c:pt>
                <c:pt idx="870">
                  <c:v>73.398419999999916</c:v>
                </c:pt>
                <c:pt idx="871">
                  <c:v>73.398419999999916</c:v>
                </c:pt>
                <c:pt idx="872">
                  <c:v>73.398419999999916</c:v>
                </c:pt>
                <c:pt idx="873">
                  <c:v>73.398419999999916</c:v>
                </c:pt>
                <c:pt idx="874">
                  <c:v>73.398419999999916</c:v>
                </c:pt>
                <c:pt idx="875">
                  <c:v>73.398419999999916</c:v>
                </c:pt>
                <c:pt idx="876">
                  <c:v>73.398419999999916</c:v>
                </c:pt>
                <c:pt idx="877">
                  <c:v>73.398419999999916</c:v>
                </c:pt>
                <c:pt idx="878">
                  <c:v>73.398419999999916</c:v>
                </c:pt>
                <c:pt idx="879">
                  <c:v>73.398419999999916</c:v>
                </c:pt>
                <c:pt idx="880">
                  <c:v>73.398419999999916</c:v>
                </c:pt>
                <c:pt idx="881">
                  <c:v>73.398419999999916</c:v>
                </c:pt>
                <c:pt idx="882">
                  <c:v>73.398419999999916</c:v>
                </c:pt>
                <c:pt idx="883">
                  <c:v>73.398419999999916</c:v>
                </c:pt>
                <c:pt idx="884">
                  <c:v>73.398419999999916</c:v>
                </c:pt>
                <c:pt idx="885">
                  <c:v>73.398419999999916</c:v>
                </c:pt>
                <c:pt idx="886">
                  <c:v>73.398419999999916</c:v>
                </c:pt>
                <c:pt idx="887">
                  <c:v>73.398419999999916</c:v>
                </c:pt>
                <c:pt idx="888">
                  <c:v>73.398419999999916</c:v>
                </c:pt>
                <c:pt idx="889">
                  <c:v>73.398419999999916</c:v>
                </c:pt>
                <c:pt idx="890">
                  <c:v>73.398419999999916</c:v>
                </c:pt>
                <c:pt idx="891">
                  <c:v>73.398419999999916</c:v>
                </c:pt>
                <c:pt idx="892">
                  <c:v>73.398419999999916</c:v>
                </c:pt>
                <c:pt idx="893">
                  <c:v>73.398419999999916</c:v>
                </c:pt>
                <c:pt idx="894">
                  <c:v>73.398419999999916</c:v>
                </c:pt>
                <c:pt idx="895">
                  <c:v>73.398419999999916</c:v>
                </c:pt>
                <c:pt idx="896">
                  <c:v>73.398419999999916</c:v>
                </c:pt>
                <c:pt idx="897">
                  <c:v>73.398419999999916</c:v>
                </c:pt>
                <c:pt idx="898">
                  <c:v>73.398419999999916</c:v>
                </c:pt>
                <c:pt idx="899">
                  <c:v>73.398419999999916</c:v>
                </c:pt>
                <c:pt idx="900">
                  <c:v>73.398419999999916</c:v>
                </c:pt>
                <c:pt idx="901">
                  <c:v>73.398419999999916</c:v>
                </c:pt>
                <c:pt idx="902">
                  <c:v>73.398419999999916</c:v>
                </c:pt>
                <c:pt idx="903">
                  <c:v>73.398419999999916</c:v>
                </c:pt>
                <c:pt idx="904">
                  <c:v>73.398419999999916</c:v>
                </c:pt>
                <c:pt idx="905">
                  <c:v>73.398419999999916</c:v>
                </c:pt>
                <c:pt idx="906">
                  <c:v>73.398419999999916</c:v>
                </c:pt>
                <c:pt idx="907">
                  <c:v>73.398419999999916</c:v>
                </c:pt>
                <c:pt idx="908">
                  <c:v>73.398419999999916</c:v>
                </c:pt>
                <c:pt idx="909">
                  <c:v>73.398419999999916</c:v>
                </c:pt>
                <c:pt idx="910">
                  <c:v>73.398419999999916</c:v>
                </c:pt>
                <c:pt idx="911">
                  <c:v>73.398419999999916</c:v>
                </c:pt>
                <c:pt idx="912">
                  <c:v>73.398419999999916</c:v>
                </c:pt>
                <c:pt idx="913">
                  <c:v>73.398419999999916</c:v>
                </c:pt>
                <c:pt idx="914">
                  <c:v>73.398419999999916</c:v>
                </c:pt>
                <c:pt idx="915">
                  <c:v>73.398419999999916</c:v>
                </c:pt>
                <c:pt idx="916">
                  <c:v>73.398419999999916</c:v>
                </c:pt>
                <c:pt idx="917">
                  <c:v>73.398419999999916</c:v>
                </c:pt>
                <c:pt idx="918">
                  <c:v>73.398419999999916</c:v>
                </c:pt>
                <c:pt idx="919">
                  <c:v>73.398419999999916</c:v>
                </c:pt>
                <c:pt idx="920">
                  <c:v>73.398419999999916</c:v>
                </c:pt>
                <c:pt idx="921">
                  <c:v>73.398419999999916</c:v>
                </c:pt>
                <c:pt idx="922">
                  <c:v>73.398419999999916</c:v>
                </c:pt>
                <c:pt idx="923">
                  <c:v>73.398419999999916</c:v>
                </c:pt>
                <c:pt idx="924">
                  <c:v>73.398419999999916</c:v>
                </c:pt>
                <c:pt idx="925">
                  <c:v>73.398419999999916</c:v>
                </c:pt>
                <c:pt idx="926">
                  <c:v>73.398419999999916</c:v>
                </c:pt>
                <c:pt idx="927">
                  <c:v>73.398419999999916</c:v>
                </c:pt>
                <c:pt idx="928">
                  <c:v>73.398419999999916</c:v>
                </c:pt>
                <c:pt idx="929">
                  <c:v>73.398419999999916</c:v>
                </c:pt>
                <c:pt idx="930">
                  <c:v>73.398419999999916</c:v>
                </c:pt>
                <c:pt idx="931">
                  <c:v>73.398419999999916</c:v>
                </c:pt>
                <c:pt idx="932">
                  <c:v>73.398419999999916</c:v>
                </c:pt>
                <c:pt idx="933">
                  <c:v>73.398419999999916</c:v>
                </c:pt>
                <c:pt idx="934">
                  <c:v>73.398419999999916</c:v>
                </c:pt>
                <c:pt idx="935">
                  <c:v>73.398419999999916</c:v>
                </c:pt>
                <c:pt idx="936">
                  <c:v>73.398419999999916</c:v>
                </c:pt>
                <c:pt idx="937">
                  <c:v>73.398419999999916</c:v>
                </c:pt>
                <c:pt idx="938">
                  <c:v>73.398419999999916</c:v>
                </c:pt>
                <c:pt idx="939">
                  <c:v>73.398419999999916</c:v>
                </c:pt>
                <c:pt idx="940">
                  <c:v>73.398419999999916</c:v>
                </c:pt>
                <c:pt idx="941">
                  <c:v>73.398419999999916</c:v>
                </c:pt>
                <c:pt idx="942">
                  <c:v>73.398419999999916</c:v>
                </c:pt>
                <c:pt idx="943">
                  <c:v>73.398419999999916</c:v>
                </c:pt>
                <c:pt idx="944">
                  <c:v>73.398419999999916</c:v>
                </c:pt>
                <c:pt idx="945">
                  <c:v>73.398419999999916</c:v>
                </c:pt>
                <c:pt idx="946">
                  <c:v>73.398419999999916</c:v>
                </c:pt>
                <c:pt idx="947">
                  <c:v>73.398419999999916</c:v>
                </c:pt>
                <c:pt idx="948">
                  <c:v>73.398419999999916</c:v>
                </c:pt>
                <c:pt idx="949">
                  <c:v>73.398419999999916</c:v>
                </c:pt>
                <c:pt idx="950">
                  <c:v>73.398419999999916</c:v>
                </c:pt>
                <c:pt idx="951">
                  <c:v>73.398419999999916</c:v>
                </c:pt>
                <c:pt idx="952">
                  <c:v>73.398419999999916</c:v>
                </c:pt>
                <c:pt idx="953">
                  <c:v>73.398419999999916</c:v>
                </c:pt>
                <c:pt idx="954">
                  <c:v>73.398419999999916</c:v>
                </c:pt>
                <c:pt idx="955">
                  <c:v>73.398419999999916</c:v>
                </c:pt>
                <c:pt idx="956">
                  <c:v>73.398419999999916</c:v>
                </c:pt>
                <c:pt idx="957">
                  <c:v>73.398419999999916</c:v>
                </c:pt>
                <c:pt idx="958">
                  <c:v>73.398419999999916</c:v>
                </c:pt>
                <c:pt idx="959">
                  <c:v>73.398419999999916</c:v>
                </c:pt>
                <c:pt idx="960">
                  <c:v>73.398419999999916</c:v>
                </c:pt>
                <c:pt idx="961">
                  <c:v>73.398419999999916</c:v>
                </c:pt>
                <c:pt idx="962">
                  <c:v>73.398419999999916</c:v>
                </c:pt>
                <c:pt idx="963">
                  <c:v>73.398419999999916</c:v>
                </c:pt>
                <c:pt idx="964">
                  <c:v>73.398419999999916</c:v>
                </c:pt>
                <c:pt idx="965">
                  <c:v>73.398419999999916</c:v>
                </c:pt>
                <c:pt idx="966">
                  <c:v>73.398419999999916</c:v>
                </c:pt>
                <c:pt idx="967">
                  <c:v>73.398419999999916</c:v>
                </c:pt>
                <c:pt idx="968">
                  <c:v>73.398419999999916</c:v>
                </c:pt>
                <c:pt idx="969">
                  <c:v>73.398419999999916</c:v>
                </c:pt>
                <c:pt idx="970">
                  <c:v>73.398419999999916</c:v>
                </c:pt>
                <c:pt idx="971">
                  <c:v>73.398419999999916</c:v>
                </c:pt>
                <c:pt idx="972">
                  <c:v>73.398419999999916</c:v>
                </c:pt>
                <c:pt idx="973">
                  <c:v>73.398419999999916</c:v>
                </c:pt>
                <c:pt idx="974">
                  <c:v>73.398419999999916</c:v>
                </c:pt>
                <c:pt idx="975">
                  <c:v>73.398419999999916</c:v>
                </c:pt>
                <c:pt idx="976">
                  <c:v>73.398419999999916</c:v>
                </c:pt>
                <c:pt idx="977">
                  <c:v>73.398419999999916</c:v>
                </c:pt>
                <c:pt idx="978">
                  <c:v>73.398419999999916</c:v>
                </c:pt>
                <c:pt idx="979">
                  <c:v>73.398419999999916</c:v>
                </c:pt>
                <c:pt idx="980">
                  <c:v>73.398419999999916</c:v>
                </c:pt>
                <c:pt idx="981">
                  <c:v>73.398419999999916</c:v>
                </c:pt>
                <c:pt idx="982">
                  <c:v>73.398419999999916</c:v>
                </c:pt>
                <c:pt idx="983">
                  <c:v>73.398419999999916</c:v>
                </c:pt>
                <c:pt idx="984">
                  <c:v>73.398419999999916</c:v>
                </c:pt>
                <c:pt idx="985">
                  <c:v>73.398419999999916</c:v>
                </c:pt>
                <c:pt idx="986">
                  <c:v>73.398419999999916</c:v>
                </c:pt>
                <c:pt idx="987">
                  <c:v>73.398419999999916</c:v>
                </c:pt>
                <c:pt idx="988">
                  <c:v>73.398419999999916</c:v>
                </c:pt>
                <c:pt idx="989">
                  <c:v>73.398419999999916</c:v>
                </c:pt>
                <c:pt idx="990">
                  <c:v>73.398419999999916</c:v>
                </c:pt>
                <c:pt idx="991">
                  <c:v>73.398419999999916</c:v>
                </c:pt>
                <c:pt idx="992">
                  <c:v>73.398419999999916</c:v>
                </c:pt>
                <c:pt idx="993">
                  <c:v>73.398419999999916</c:v>
                </c:pt>
                <c:pt idx="994">
                  <c:v>73.398419999999916</c:v>
                </c:pt>
                <c:pt idx="995">
                  <c:v>73.398419999999916</c:v>
                </c:pt>
                <c:pt idx="996">
                  <c:v>73.398419999999916</c:v>
                </c:pt>
                <c:pt idx="997">
                  <c:v>73.398419999999916</c:v>
                </c:pt>
                <c:pt idx="998">
                  <c:v>73.398419999999916</c:v>
                </c:pt>
                <c:pt idx="999">
                  <c:v>73.398419999999916</c:v>
                </c:pt>
                <c:pt idx="1000">
                  <c:v>73.398419999999916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3-7045-93AD-06357D4BED02}"/>
            </c:ext>
          </c:extLst>
        </c:ser>
        <c:ser>
          <c:idx val="0"/>
          <c:order val="2"/>
          <c:tx>
            <c:strRef>
              <c:f>Courbes!$B$133</c:f>
              <c:strCache>
                <c:ptCount val="1"/>
                <c:pt idx="0">
                  <c:v>Traînée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Calculs!$W$4:$W$1004</c:f>
              <c:numCache>
                <c:formatCode>0.00</c:formatCode>
                <c:ptCount val="1001"/>
                <c:pt idx="0">
                  <c:v>0</c:v>
                </c:pt>
                <c:pt idx="1">
                  <c:v>1.6568206500881545E-7</c:v>
                </c:pt>
                <c:pt idx="2">
                  <c:v>1.6266214890782622E-4</c:v>
                </c:pt>
                <c:pt idx="3">
                  <c:v>1.372516997512441E-3</c:v>
                </c:pt>
                <c:pt idx="4">
                  <c:v>5.3726566432081811E-3</c:v>
                </c:pt>
                <c:pt idx="5">
                  <c:v>1.4767325799752698E-2</c:v>
                </c:pt>
                <c:pt idx="6">
                  <c:v>3.0863253507924678E-2</c:v>
                </c:pt>
                <c:pt idx="7">
                  <c:v>5.2774294707115907E-2</c:v>
                </c:pt>
                <c:pt idx="8">
                  <c:v>8.0463964760432216E-2</c:v>
                </c:pt>
                <c:pt idx="9">
                  <c:v>0.11389557230325906</c:v>
                </c:pt>
                <c:pt idx="10">
                  <c:v>0.1530322220733778</c:v>
                </c:pt>
                <c:pt idx="11">
                  <c:v>0.19783681775740622</c:v>
                </c:pt>
                <c:pt idx="12">
                  <c:v>0.24827206485317579</c:v>
                </c:pt>
                <c:pt idx="13">
                  <c:v>0.30430047354765705</c:v>
                </c:pt>
                <c:pt idx="14">
                  <c:v>0.36588436161004256</c:v>
                </c:pt>
                <c:pt idx="15">
                  <c:v>0.43298585729959332</c:v>
                </c:pt>
                <c:pt idx="16">
                  <c:v>0.50556690228785572</c:v>
                </c:pt>
                <c:pt idx="17">
                  <c:v>0.58358925459485211</c:v>
                </c:pt>
                <c:pt idx="18">
                  <c:v>0.66701449153884484</c:v>
                </c:pt>
                <c:pt idx="19">
                  <c:v>0.75580401269928044</c:v>
                </c:pt>
                <c:pt idx="20">
                  <c:v>0.8499190428925022</c:v>
                </c:pt>
                <c:pt idx="21">
                  <c:v>0.94932063515984477</c:v>
                </c:pt>
                <c:pt idx="22">
                  <c:v>1.0539696737676878</c:v>
                </c:pt>
                <c:pt idx="23">
                  <c:v>1.1638268772190845</c:v>
                </c:pt>
                <c:pt idx="24">
                  <c:v>1.278852801276535</c:v>
                </c:pt>
                <c:pt idx="25">
                  <c:v>1.3990078419955305</c:v>
                </c:pt>
                <c:pt idx="26">
                  <c:v>1.5242522387684256</c:v>
                </c:pt>
                <c:pt idx="27">
                  <c:v>1.6545460773782497</c:v>
                </c:pt>
                <c:pt idx="28">
                  <c:v>1.7898492930620498</c:v>
                </c:pt>
                <c:pt idx="29">
                  <c:v>1.9301216735833453</c:v>
                </c:pt>
                <c:pt idx="30">
                  <c:v>2.0753228623132878</c:v>
                </c:pt>
                <c:pt idx="31">
                  <c:v>2.2254123613201151</c:v>
                </c:pt>
                <c:pt idx="32">
                  <c:v>2.3803495344664953</c:v>
                </c:pt>
                <c:pt idx="33">
                  <c:v>2.540093840911668</c:v>
                </c:pt>
                <c:pt idx="34">
                  <c:v>2.7046046470522667</c:v>
                </c:pt>
                <c:pt idx="35">
                  <c:v>2.8738409538753515</c:v>
                </c:pt>
                <c:pt idx="36">
                  <c:v>3.0477616356740729</c:v>
                </c:pt>
                <c:pt idx="37">
                  <c:v>3.2263254432225978</c:v>
                </c:pt>
                <c:pt idx="38">
                  <c:v>3.40949100695499</c:v>
                </c:pt>
                <c:pt idx="39">
                  <c:v>3.5972168401456415</c:v>
                </c:pt>
                <c:pt idx="40">
                  <c:v>3.789461342091148</c:v>
                </c:pt>
                <c:pt idx="41">
                  <c:v>3.9861828012936544</c:v>
                </c:pt>
                <c:pt idx="42">
                  <c:v>4.187339398645392</c:v>
                </c:pt>
                <c:pt idx="43">
                  <c:v>4.3928892106143689</c:v>
                </c:pt>
                <c:pt idx="44">
                  <c:v>4.6027902124309197</c:v>
                </c:pt>
                <c:pt idx="45">
                  <c:v>4.8170002812749715</c:v>
                </c:pt>
                <c:pt idx="46">
                  <c:v>5.0354771994637373</c:v>
                </c:pt>
                <c:pt idx="47">
                  <c:v>5.2581786576395793</c:v>
                </c:pt>
                <c:pt idx="48">
                  <c:v>5.4850622579578081</c:v>
                </c:pt>
                <c:pt idx="49">
                  <c:v>5.7160855172740774</c:v>
                </c:pt>
                <c:pt idx="50">
                  <c:v>5.9512058703311332</c:v>
                </c:pt>
                <c:pt idx="51">
                  <c:v>6.1905393329385108</c:v>
                </c:pt>
                <c:pt idx="52">
                  <c:v>6.4342144398812211</c:v>
                </c:pt>
                <c:pt idx="53">
                  <c:v>6.6822072132503685</c:v>
                </c:pt>
                <c:pt idx="54">
                  <c:v>6.9344935382396322</c:v>
                </c:pt>
                <c:pt idx="55">
                  <c:v>7.1910491646877448</c:v>
                </c:pt>
                <c:pt idx="56">
                  <c:v>7.4518497086292426</c:v>
                </c:pt>
                <c:pt idx="57">
                  <c:v>7.716870653853543</c:v>
                </c:pt>
                <c:pt idx="58">
                  <c:v>7.9860873534720884</c:v>
                </c:pt>
                <c:pt idx="59">
                  <c:v>8.259475031493464</c:v>
                </c:pt>
                <c:pt idx="60">
                  <c:v>8.5370087844063338</c:v>
                </c:pt>
                <c:pt idx="61">
                  <c:v>8.8186635827700464</c:v>
                </c:pt>
                <c:pt idx="62">
                  <c:v>9.1044142728127433</c:v>
                </c:pt>
                <c:pt idx="63">
                  <c:v>9.3942355780368558</c:v>
                </c:pt>
                <c:pt idx="64">
                  <c:v>9.6881021008317845</c:v>
                </c:pt>
                <c:pt idx="65">
                  <c:v>9.9859883240936131</c:v>
                </c:pt>
                <c:pt idx="66">
                  <c:v>10.287868612851705</c:v>
                </c:pt>
                <c:pt idx="67">
                  <c:v>10.593717215902016</c:v>
                </c:pt>
                <c:pt idx="68">
                  <c:v>10.90350826744694</c:v>
                </c:pt>
                <c:pt idx="69">
                  <c:v>11.21721578874152</c:v>
                </c:pt>
                <c:pt idx="70">
                  <c:v>11.534813689745894</c:v>
                </c:pt>
                <c:pt idx="71">
                  <c:v>11.856275770783716</c:v>
                </c:pt>
                <c:pt idx="72">
                  <c:v>12.181575724206448</c:v>
                </c:pt>
                <c:pt idx="73">
                  <c:v>12.510687136063371</c:v>
                </c:pt>
                <c:pt idx="74">
                  <c:v>12.843583487777016</c:v>
                </c:pt>
                <c:pt idx="75">
                  <c:v>13.180238157823966</c:v>
                </c:pt>
                <c:pt idx="76">
                  <c:v>13.520624423420823</c:v>
                </c:pt>
                <c:pt idx="77">
                  <c:v>13.864715462215027</c:v>
                </c:pt>
                <c:pt idx="78">
                  <c:v>14.212484353980576</c:v>
                </c:pt>
                <c:pt idx="79">
                  <c:v>14.563904082318281</c:v>
                </c:pt>
                <c:pt idx="80">
                  <c:v>14.91894753636042</c:v>
                </c:pt>
                <c:pt idx="81">
                  <c:v>15.277587512479661</c:v>
                </c:pt>
                <c:pt idx="82">
                  <c:v>15.639796716001966</c:v>
                </c:pt>
                <c:pt idx="83">
                  <c:v>16.00554776292347</c:v>
                </c:pt>
                <c:pt idx="84">
                  <c:v>16.374813181630881</c:v>
                </c:pt>
                <c:pt idx="85">
                  <c:v>16.747565414625463</c:v>
                </c:pt>
                <c:pt idx="86">
                  <c:v>17.123776820250345</c:v>
                </c:pt>
                <c:pt idx="87">
                  <c:v>17.503419674420819</c:v>
                </c:pt>
                <c:pt idx="88">
                  <c:v>17.886466172357729</c:v>
                </c:pt>
                <c:pt idx="89">
                  <c:v>18.272888430323462</c:v>
                </c:pt>
                <c:pt idx="90">
                  <c:v>18.662658487360599</c:v>
                </c:pt>
                <c:pt idx="91">
                  <c:v>19.055748307032793</c:v>
                </c:pt>
                <c:pt idx="92">
                  <c:v>19.452129779168036</c:v>
                </c:pt>
                <c:pt idx="93">
                  <c:v>19.851774721603704</c:v>
                </c:pt>
                <c:pt idx="94">
                  <c:v>20.254654881933533</c:v>
                </c:pt>
                <c:pt idx="95">
                  <c:v>20.660741939256198</c:v>
                </c:pt>
                <c:pt idx="96">
                  <c:v>21.070007505925275</c:v>
                </c:pt>
                <c:pt idx="97">
                  <c:v>21.482423129300486</c:v>
                </c:pt>
                <c:pt idx="98">
                  <c:v>21.89796029350002</c:v>
                </c:pt>
                <c:pt idx="99">
                  <c:v>22.316590421153652</c:v>
                </c:pt>
                <c:pt idx="100">
                  <c:v>22.738284875156609</c:v>
                </c:pt>
                <c:pt idx="101">
                  <c:v>23.162873473700195</c:v>
                </c:pt>
                <c:pt idx="102">
                  <c:v>23.590180648415245</c:v>
                </c:pt>
                <c:pt idx="103">
                  <c:v>24.020169679749888</c:v>
                </c:pt>
                <c:pt idx="104">
                  <c:v>24.452803837369473</c:v>
                </c:pt>
                <c:pt idx="105">
                  <c:v>24.888046382493819</c:v>
                </c:pt>
                <c:pt idx="106">
                  <c:v>25.325860570227864</c:v>
                </c:pt>
                <c:pt idx="107">
                  <c:v>25.766209651885234</c:v>
                </c:pt>
                <c:pt idx="108">
                  <c:v>26.209056877304658</c:v>
                </c:pt>
                <c:pt idx="109">
                  <c:v>26.654365497158807</c:v>
                </c:pt>
                <c:pt idx="110">
                  <c:v>27.102098765255509</c:v>
                </c:pt>
                <c:pt idx="111">
                  <c:v>27.552219940831023</c:v>
                </c:pt>
                <c:pt idx="112">
                  <c:v>28.004692290835049</c:v>
                </c:pt>
                <c:pt idx="113">
                  <c:v>28.459479092207388</c:v>
                </c:pt>
                <c:pt idx="114">
                  <c:v>28.916543634146059</c:v>
                </c:pt>
                <c:pt idx="115">
                  <c:v>29.375849220366373</c:v>
                </c:pt>
                <c:pt idx="116">
                  <c:v>29.837359171351036</c:v>
                </c:pt>
                <c:pt idx="117">
                  <c:v>30.301036826590966</c:v>
                </c:pt>
                <c:pt idx="118">
                  <c:v>30.766845546816565</c:v>
                </c:pt>
                <c:pt idx="119">
                  <c:v>31.23474871621919</c:v>
                </c:pt>
                <c:pt idx="120">
                  <c:v>31.704709744662789</c:v>
                </c:pt>
                <c:pt idx="121">
                  <c:v>32.176692069885242</c:v>
                </c:pt>
                <c:pt idx="122">
                  <c:v>32.650659159689518</c:v>
                </c:pt>
                <c:pt idx="123">
                  <c:v>33.12657451412398</c:v>
                </c:pt>
                <c:pt idx="124">
                  <c:v>33.60440166765224</c:v>
                </c:pt>
                <c:pt idx="125">
                  <c:v>34.084104191311667</c:v>
                </c:pt>
                <c:pt idx="126">
                  <c:v>34.565645694861061</c:v>
                </c:pt>
                <c:pt idx="127">
                  <c:v>35.048989828916739</c:v>
                </c:pt>
                <c:pt idx="128">
                  <c:v>35.534100287077067</c:v>
                </c:pt>
                <c:pt idx="129">
                  <c:v>36.020940808035277</c:v>
                </c:pt>
                <c:pt idx="130">
                  <c:v>36.509475177680351</c:v>
                </c:pt>
                <c:pt idx="131">
                  <c:v>36.999667231185704</c:v>
                </c:pt>
                <c:pt idx="132">
                  <c:v>37.491480855085577</c:v>
                </c:pt>
                <c:pt idx="133">
                  <c:v>37.984879989338985</c:v>
                </c:pt>
                <c:pt idx="134">
                  <c:v>38.479828629380847</c:v>
                </c:pt>
                <c:pt idx="135">
                  <c:v>38.976290828160458</c:v>
                </c:pt>
                <c:pt idx="136">
                  <c:v>39.474230698166728</c:v>
                </c:pt>
                <c:pt idx="137">
                  <c:v>39.973612413440399</c:v>
                </c:pt>
                <c:pt idx="138">
                  <c:v>40.47440021157287</c:v>
                </c:pt>
                <c:pt idx="139">
                  <c:v>40.97655839569137</c:v>
                </c:pt>
                <c:pt idx="140">
                  <c:v>41.48005133643067</c:v>
                </c:pt>
                <c:pt idx="141">
                  <c:v>41.98484347389067</c:v>
                </c:pt>
                <c:pt idx="142">
                  <c:v>42.490899319580393</c:v>
                </c:pt>
                <c:pt idx="143">
                  <c:v>42.998183458347313</c:v>
                </c:pt>
                <c:pt idx="144">
                  <c:v>43.506660550292935</c:v>
                </c:pt>
                <c:pt idx="145">
                  <c:v>44.016295332673486</c:v>
                </c:pt>
                <c:pt idx="146">
                  <c:v>44.527052621786282</c:v>
                </c:pt>
                <c:pt idx="147">
                  <c:v>45.038897314841265</c:v>
                </c:pt>
                <c:pt idx="148">
                  <c:v>45.551794391817751</c:v>
                </c:pt>
                <c:pt idx="149">
                  <c:v>46.065708917306047</c:v>
                </c:pt>
                <c:pt idx="150">
                  <c:v>46.580606042334139</c:v>
                </c:pt>
                <c:pt idx="151">
                  <c:v>47.096519557023726</c:v>
                </c:pt>
                <c:pt idx="152">
                  <c:v>47.613484865859043</c:v>
                </c:pt>
                <c:pt idx="153">
                  <c:v>48.131469625453498</c:v>
                </c:pt>
                <c:pt idx="154">
                  <c:v>48.65044156619107</c:v>
                </c:pt>
                <c:pt idx="155">
                  <c:v>49.170368493855833</c:v>
                </c:pt>
                <c:pt idx="156">
                  <c:v>49.691218291248425</c:v>
                </c:pt>
                <c:pt idx="157">
                  <c:v>50.212958919788832</c:v>
                </c:pt>
                <c:pt idx="158">
                  <c:v>50.735558421106198</c:v>
                </c:pt>
                <c:pt idx="159">
                  <c:v>51.258984918615063</c:v>
                </c:pt>
                <c:pt idx="160">
                  <c:v>51.78320661907803</c:v>
                </c:pt>
                <c:pt idx="161">
                  <c:v>52.308191814154682</c:v>
                </c:pt>
                <c:pt idx="162">
                  <c:v>52.833908881936928</c:v>
                </c:pt>
                <c:pt idx="163">
                  <c:v>53.360326288470326</c:v>
                </c:pt>
                <c:pt idx="164">
                  <c:v>53.887412589261515</c:v>
                </c:pt>
                <c:pt idx="165">
                  <c:v>54.415136430771611</c:v>
                </c:pt>
                <c:pt idx="166">
                  <c:v>54.943466551895504</c:v>
                </c:pt>
                <c:pt idx="167">
                  <c:v>55.472371785427008</c:v>
                </c:pt>
                <c:pt idx="168">
                  <c:v>56.001821059509417</c:v>
                </c:pt>
                <c:pt idx="169">
                  <c:v>56.531783399072133</c:v>
                </c:pt>
                <c:pt idx="170">
                  <c:v>57.06222792725265</c:v>
                </c:pt>
                <c:pt idx="171">
                  <c:v>57.593123866803772</c:v>
                </c:pt>
                <c:pt idx="172">
                  <c:v>58.12444054148667</c:v>
                </c:pt>
                <c:pt idx="173">
                  <c:v>58.656147377449095</c:v>
                </c:pt>
                <c:pt idx="174">
                  <c:v>59.188213904588672</c:v>
                </c:pt>
                <c:pt idx="175">
                  <c:v>59.720609757901677</c:v>
                </c:pt>
                <c:pt idx="176">
                  <c:v>60.253304678816939</c:v>
                </c:pt>
                <c:pt idx="177">
                  <c:v>60.786268516514674</c:v>
                </c:pt>
                <c:pt idx="178">
                  <c:v>61.319471229230288</c:v>
                </c:pt>
                <c:pt idx="179">
                  <c:v>61.852882885543551</c:v>
                </c:pt>
                <c:pt idx="180">
                  <c:v>62.386473665652211</c:v>
                </c:pt>
                <c:pt idx="181">
                  <c:v>62.920213862630909</c:v>
                </c:pt>
                <c:pt idx="182">
                  <c:v>63.45407388367444</c:v>
                </c:pt>
                <c:pt idx="183">
                  <c:v>63.988024251326316</c:v>
                </c:pt>
                <c:pt idx="184">
                  <c:v>64.522035604691652</c:v>
                </c:pt>
                <c:pt idx="185">
                  <c:v>65.056078700635069</c:v>
                </c:pt>
                <c:pt idx="186">
                  <c:v>65.590124414962915</c:v>
                </c:pt>
                <c:pt idx="187">
                  <c:v>66.124143743590452</c:v>
                </c:pt>
                <c:pt idx="188">
                  <c:v>66.658107803693468</c:v>
                </c:pt>
                <c:pt idx="189">
                  <c:v>67.191987834844326</c:v>
                </c:pt>
                <c:pt idx="190">
                  <c:v>67.725755200132866</c:v>
                </c:pt>
                <c:pt idx="191">
                  <c:v>68.259381387271461</c:v>
                </c:pt>
                <c:pt idx="192">
                  <c:v>68.792838009684885</c:v>
                </c:pt>
                <c:pt idx="193">
                  <c:v>69.326096807584406</c:v>
                </c:pt>
                <c:pt idx="194">
                  <c:v>69.8591296490264</c:v>
                </c:pt>
                <c:pt idx="195">
                  <c:v>70.391908530955348</c:v>
                </c:pt>
                <c:pt idx="196">
                  <c:v>70.924405580231465</c:v>
                </c:pt>
                <c:pt idx="197">
                  <c:v>71.456593054642411</c:v>
                </c:pt>
                <c:pt idx="198">
                  <c:v>71.988443343899448</c:v>
                </c:pt>
                <c:pt idx="199">
                  <c:v>72.519928970618338</c:v>
                </c:pt>
                <c:pt idx="200">
                  <c:v>73.05102259128401</c:v>
                </c:pt>
                <c:pt idx="201">
                  <c:v>73.581696997200282</c:v>
                </c:pt>
                <c:pt idx="202">
                  <c:v>74.111925115423446</c:v>
                </c:pt>
                <c:pt idx="203">
                  <c:v>74.641680009680243</c:v>
                </c:pt>
                <c:pt idx="204">
                  <c:v>75.170934881270625</c:v>
                </c:pt>
                <c:pt idx="205">
                  <c:v>75.699663069954468</c:v>
                </c:pt>
                <c:pt idx="206">
                  <c:v>76.227838054822982</c:v>
                </c:pt>
                <c:pt idx="207">
                  <c:v>76.75543345515409</c:v>
                </c:pt>
                <c:pt idx="208">
                  <c:v>77.282423031252918</c:v>
                </c:pt>
                <c:pt idx="209">
                  <c:v>77.808780685275963</c:v>
                </c:pt>
                <c:pt idx="210">
                  <c:v>78.334480462040105</c:v>
                </c:pt>
                <c:pt idx="211">
                  <c:v>78.8594965498161</c:v>
                </c:pt>
                <c:pt idx="212">
                  <c:v>79.383803281106367</c:v>
                </c:pt>
                <c:pt idx="213">
                  <c:v>79.907375133407442</c:v>
                </c:pt>
                <c:pt idx="214">
                  <c:v>80.430186729956702</c:v>
                </c:pt>
                <c:pt idx="215">
                  <c:v>80.952212840463915</c:v>
                </c:pt>
                <c:pt idx="216">
                  <c:v>81.473428381827247</c:v>
                </c:pt>
                <c:pt idx="217">
                  <c:v>81.993808418833922</c:v>
                </c:pt>
                <c:pt idx="218">
                  <c:v>82.513328164845305</c:v>
                </c:pt>
                <c:pt idx="219">
                  <c:v>83.031962982466979</c:v>
                </c:pt>
                <c:pt idx="220">
                  <c:v>83.549688384203193</c:v>
                </c:pt>
                <c:pt idx="221">
                  <c:v>84.066480033096454</c:v>
                </c:pt>
                <c:pt idx="222">
                  <c:v>84.582313743351449</c:v>
                </c:pt>
                <c:pt idx="223">
                  <c:v>85.097165480944042</c:v>
                </c:pt>
                <c:pt idx="224">
                  <c:v>85.611011364215003</c:v>
                </c:pt>
                <c:pt idx="225">
                  <c:v>86.123827664449067</c:v>
                </c:pt>
                <c:pt idx="226">
                  <c:v>86.635590806438088</c:v>
                </c:pt>
                <c:pt idx="227">
                  <c:v>87.14627736902996</c:v>
                </c:pt>
                <c:pt idx="228">
                  <c:v>87.655864085662358</c:v>
                </c:pt>
                <c:pt idx="229">
                  <c:v>88.164327844881484</c:v>
                </c:pt>
                <c:pt idx="230">
                  <c:v>88.671645690845835</c:v>
                </c:pt>
                <c:pt idx="231">
                  <c:v>89.177794823815532</c:v>
                </c:pt>
                <c:pt idx="232">
                  <c:v>89.682752600626699</c:v>
                </c:pt>
                <c:pt idx="233">
                  <c:v>90.18649653515098</c:v>
                </c:pt>
                <c:pt idx="234">
                  <c:v>90.689004298740755</c:v>
                </c:pt>
                <c:pt idx="235">
                  <c:v>91.190253720659641</c:v>
                </c:pt>
                <c:pt idx="236">
                  <c:v>91.690222788498488</c:v>
                </c:pt>
                <c:pt idx="237">
                  <c:v>92.188889648576776</c:v>
                </c:pt>
                <c:pt idx="238">
                  <c:v>92.68623260632998</c:v>
                </c:pt>
                <c:pt idx="239">
                  <c:v>93.182230126682157</c:v>
                </c:pt>
                <c:pt idx="240">
                  <c:v>93.676860834404721</c:v>
                </c:pt>
                <c:pt idx="241">
                  <c:v>94.17010351446082</c:v>
                </c:pt>
                <c:pt idx="242">
                  <c:v>94.661937112335565</c:v>
                </c:pt>
                <c:pt idx="243">
                  <c:v>95.152340734352308</c:v>
                </c:pt>
                <c:pt idx="244">
                  <c:v>95.641293647974933</c:v>
                </c:pt>
                <c:pt idx="245">
                  <c:v>96.128775282096186</c:v>
                </c:pt>
                <c:pt idx="246">
                  <c:v>96.614765227312262</c:v>
                </c:pt>
                <c:pt idx="247">
                  <c:v>97.099243236183554</c:v>
                </c:pt>
                <c:pt idx="248">
                  <c:v>97.582189223481905</c:v>
                </c:pt>
                <c:pt idx="249">
                  <c:v>98.063583266424075</c:v>
                </c:pt>
                <c:pt idx="250">
                  <c:v>98.543405604891774</c:v>
                </c:pt>
                <c:pt idx="251">
                  <c:v>99.021210433878153</c:v>
                </c:pt>
                <c:pt idx="252">
                  <c:v>99.496548289496218</c:v>
                </c:pt>
                <c:pt idx="253">
                  <c:v>99.969394590147672</c:v>
                </c:pt>
                <c:pt idx="254">
                  <c:v>100.43972502345551</c:v>
                </c:pt>
                <c:pt idx="255">
                  <c:v>100.90751554626306</c:v>
                </c:pt>
                <c:pt idx="256">
                  <c:v>101.3727423846107</c:v>
                </c:pt>
                <c:pt idx="257">
                  <c:v>101.83538203368983</c:v>
                </c:pt>
                <c:pt idx="258">
                  <c:v>102.29541125777472</c:v>
                </c:pt>
                <c:pt idx="259">
                  <c:v>102.75280709013207</c:v>
                </c:pt>
                <c:pt idx="260">
                  <c:v>103.207546832909</c:v>
                </c:pt>
                <c:pt idx="261">
                  <c:v>103.65960805699906</c:v>
                </c:pt>
                <c:pt idx="262">
                  <c:v>104.10896860188687</c:v>
                </c:pt>
                <c:pt idx="263">
                  <c:v>104.55560657547164</c:v>
                </c:pt>
                <c:pt idx="264">
                  <c:v>104.99950035386952</c:v>
                </c:pt>
                <c:pt idx="265">
                  <c:v>105.44062858119511</c:v>
                </c:pt>
                <c:pt idx="266">
                  <c:v>105.87897016932227</c:v>
                </c:pt>
                <c:pt idx="267">
                  <c:v>106.31450429762521</c:v>
                </c:pt>
                <c:pt idx="268">
                  <c:v>106.74721041269792</c:v>
                </c:pt>
                <c:pt idx="269">
                  <c:v>107.17706822805542</c:v>
                </c:pt>
                <c:pt idx="270">
                  <c:v>107.60405772381381</c:v>
                </c:pt>
                <c:pt idx="271">
                  <c:v>108.02815914635177</c:v>
                </c:pt>
                <c:pt idx="272">
                  <c:v>108.44935300795201</c:v>
                </c:pt>
                <c:pt idx="273">
                  <c:v>108.86762008642411</c:v>
                </c:pt>
                <c:pt idx="274">
                  <c:v>109.2829414247085</c:v>
                </c:pt>
                <c:pt idx="275">
                  <c:v>109.6952983304613</c:v>
                </c:pt>
                <c:pt idx="276">
                  <c:v>110.10467237562153</c:v>
                </c:pt>
                <c:pt idx="277">
                  <c:v>110.51104539595902</c:v>
                </c:pt>
                <c:pt idx="278">
                  <c:v>110.91439949060572</c:v>
                </c:pt>
                <c:pt idx="279">
                  <c:v>111.31471702156767</c:v>
                </c:pt>
                <c:pt idx="280">
                  <c:v>111.71198061322119</c:v>
                </c:pt>
                <c:pt idx="281">
                  <c:v>112.10617315179012</c:v>
                </c:pt>
                <c:pt idx="282">
                  <c:v>112.49727778480704</c:v>
                </c:pt>
                <c:pt idx="283">
                  <c:v>112.88527792055723</c:v>
                </c:pt>
                <c:pt idx="284">
                  <c:v>113.27015722750603</c:v>
                </c:pt>
                <c:pt idx="285">
                  <c:v>113.65189963370989</c:v>
                </c:pt>
                <c:pt idx="286">
                  <c:v>114.03048932621108</c:v>
                </c:pt>
                <c:pt idx="287">
                  <c:v>114.40591075041671</c:v>
                </c:pt>
                <c:pt idx="288">
                  <c:v>114.77814860946164</c:v>
                </c:pt>
                <c:pt idx="289">
                  <c:v>115.14718786355635</c:v>
                </c:pt>
                <c:pt idx="290">
                  <c:v>115.51301372931904</c:v>
                </c:pt>
                <c:pt idx="291">
                  <c:v>115.875611679093</c:v>
                </c:pt>
                <c:pt idx="292">
                  <c:v>116.23496744024928</c:v>
                </c:pt>
                <c:pt idx="293">
                  <c:v>116.59106699447425</c:v>
                </c:pt>
                <c:pt idx="294">
                  <c:v>116.94389657704319</c:v>
                </c:pt>
                <c:pt idx="295">
                  <c:v>117.29344267607989</c:v>
                </c:pt>
                <c:pt idx="296">
                  <c:v>117.63969203180189</c:v>
                </c:pt>
                <c:pt idx="297">
                  <c:v>117.98263163575201</c:v>
                </c:pt>
                <c:pt idx="298">
                  <c:v>118.31715570758</c:v>
                </c:pt>
                <c:pt idx="299">
                  <c:v>118.6381360486219</c:v>
                </c:pt>
                <c:pt idx="300">
                  <c:v>118.94553292921894</c:v>
                </c:pt>
                <c:pt idx="301">
                  <c:v>119.23930950728096</c:v>
                </c:pt>
                <c:pt idx="302">
                  <c:v>119.51943181424997</c:v>
                </c:pt>
                <c:pt idx="303">
                  <c:v>119.78586874076257</c:v>
                </c:pt>
                <c:pt idx="304">
                  <c:v>120.03859202202074</c:v>
                </c:pt>
                <c:pt idx="305">
                  <c:v>120.27757622287886</c:v>
                </c:pt>
                <c:pt idx="306">
                  <c:v>120.50279872265671</c:v>
                </c:pt>
                <c:pt idx="307">
                  <c:v>120.71423969968728</c:v>
                </c:pt>
                <c:pt idx="308">
                  <c:v>120.91188211560751</c:v>
                </c:pt>
                <c:pt idx="309">
                  <c:v>121.09571169940205</c:v>
                </c:pt>
                <c:pt idx="310">
                  <c:v>121.26571693120705</c:v>
                </c:pt>
                <c:pt idx="311">
                  <c:v>121.42188902588481</c:v>
                </c:pt>
                <c:pt idx="312">
                  <c:v>121.56422191637589</c:v>
                </c:pt>
                <c:pt idx="313">
                  <c:v>121.69271223683862</c:v>
                </c:pt>
                <c:pt idx="314">
                  <c:v>121.80735930558413</c:v>
                </c:pt>
                <c:pt idx="315">
                  <c:v>121.90816510781588</c:v>
                </c:pt>
                <c:pt idx="316">
                  <c:v>121.99513427818046</c:v>
                </c:pt>
                <c:pt idx="317">
                  <c:v>122.06827408314074</c:v>
                </c:pt>
                <c:pt idx="318">
                  <c:v>122.12759440317767</c:v>
                </c:pt>
                <c:pt idx="319">
                  <c:v>122.17310771482876</c:v>
                </c:pt>
                <c:pt idx="320">
                  <c:v>122.20482907257372</c:v>
                </c:pt>
                <c:pt idx="321">
                  <c:v>122.22483014364562</c:v>
                </c:pt>
                <c:pt idx="322">
                  <c:v>122.23518197084675</c:v>
                </c:pt>
                <c:pt idx="323">
                  <c:v>122.23589964770001</c:v>
                </c:pt>
                <c:pt idx="324">
                  <c:v>122.22699949585598</c:v>
                </c:pt>
                <c:pt idx="325">
                  <c:v>122.20849905594136</c:v>
                </c:pt>
                <c:pt idx="326">
                  <c:v>122.18041707837951</c:v>
                </c:pt>
                <c:pt idx="327">
                  <c:v>122.14277351419095</c:v>
                </c:pt>
                <c:pt idx="328">
                  <c:v>122.09558950577188</c:v>
                </c:pt>
                <c:pt idx="329">
                  <c:v>122.03888737765595</c:v>
                </c:pt>
                <c:pt idx="330">
                  <c:v>121.9726906272609</c:v>
                </c:pt>
                <c:pt idx="331">
                  <c:v>121.89702391562209</c:v>
                </c:pt>
                <c:pt idx="332">
                  <c:v>121.81191305811642</c:v>
                </c:pt>
                <c:pt idx="333">
                  <c:v>121.71738501517842</c:v>
                </c:pt>
                <c:pt idx="334">
                  <c:v>121.61346788301053</c:v>
                </c:pt>
                <c:pt idx="335">
                  <c:v>121.50019088429062</c:v>
                </c:pt>
                <c:pt idx="336">
                  <c:v>121.37758435887892</c:v>
                </c:pt>
                <c:pt idx="337">
                  <c:v>121.24567975452673</c:v>
                </c:pt>
                <c:pt idx="338">
                  <c:v>121.10450961758781</c:v>
                </c:pt>
                <c:pt idx="339">
                  <c:v>120.95410758373755</c:v>
                </c:pt>
                <c:pt idx="340">
                  <c:v>120.79450836869871</c:v>
                </c:pt>
                <c:pt idx="341">
                  <c:v>120.6257477589787</c:v>
                </c:pt>
                <c:pt idx="342">
                  <c:v>120.44786260261886</c:v>
                </c:pt>
                <c:pt idx="343">
                  <c:v>120.2608907999585</c:v>
                </c:pt>
                <c:pt idx="344">
                  <c:v>120.0648712944154</c:v>
                </c:pt>
                <c:pt idx="345">
                  <c:v>119.85984406328554</c:v>
                </c:pt>
                <c:pt idx="346">
                  <c:v>119.64585010856258</c:v>
                </c:pt>
                <c:pt idx="347">
                  <c:v>119.42293144778104</c:v>
                </c:pt>
                <c:pt idx="348">
                  <c:v>119.1913492753267</c:v>
                </c:pt>
                <c:pt idx="349">
                  <c:v>118.95136445684992</c:v>
                </c:pt>
                <c:pt idx="350">
                  <c:v>118.70301974153273</c:v>
                </c:pt>
                <c:pt idx="351">
                  <c:v>118.44635875942748</c:v>
                </c:pt>
                <c:pt idx="352">
                  <c:v>118.1814260133295</c:v>
                </c:pt>
                <c:pt idx="353">
                  <c:v>117.90826687068237</c:v>
                </c:pt>
                <c:pt idx="354">
                  <c:v>117.62692755551744</c:v>
                </c:pt>
                <c:pt idx="355">
                  <c:v>117.33745514042943</c:v>
                </c:pt>
                <c:pt idx="356">
                  <c:v>117.03989753858875</c:v>
                </c:pt>
                <c:pt idx="357">
                  <c:v>116.73430349579269</c:v>
                </c:pt>
                <c:pt idx="358">
                  <c:v>116.42072258255644</c:v>
                </c:pt>
                <c:pt idx="359">
                  <c:v>116.09920518624502</c:v>
                </c:pt>
                <c:pt idx="360">
                  <c:v>115.77426903812122</c:v>
                </c:pt>
                <c:pt idx="361">
                  <c:v>115.45039745247009</c:v>
                </c:pt>
                <c:pt idx="362">
                  <c:v>115.12758584138122</c:v>
                </c:pt>
                <c:pt idx="363">
                  <c:v>114.80582964198085</c:v>
                </c:pt>
                <c:pt idx="364">
                  <c:v>114.48512431626723</c:v>
                </c:pt>
                <c:pt idx="365">
                  <c:v>114.1654653509479</c:v>
                </c:pt>
                <c:pt idx="366">
                  <c:v>113.84684825727749</c:v>
                </c:pt>
                <c:pt idx="367">
                  <c:v>113.52926857089734</c:v>
                </c:pt>
                <c:pt idx="368">
                  <c:v>113.21272185167614</c:v>
                </c:pt>
                <c:pt idx="369">
                  <c:v>112.89720368355164</c:v>
                </c:pt>
                <c:pt idx="370">
                  <c:v>112.58270967437393</c:v>
                </c:pt>
                <c:pt idx="371">
                  <c:v>112.26923545574951</c:v>
                </c:pt>
                <c:pt idx="372">
                  <c:v>111.95677668288675</c:v>
                </c:pt>
                <c:pt idx="373">
                  <c:v>111.64532903444277</c:v>
                </c:pt>
                <c:pt idx="374">
                  <c:v>111.3348882123708</c:v>
                </c:pt>
                <c:pt idx="375">
                  <c:v>111.02544994176954</c:v>
                </c:pt>
                <c:pt idx="376">
                  <c:v>110.71700997073287</c:v>
                </c:pt>
                <c:pt idx="377">
                  <c:v>110.4095640702015</c:v>
                </c:pt>
                <c:pt idx="378">
                  <c:v>110.10310803381495</c:v>
                </c:pt>
                <c:pt idx="379">
                  <c:v>109.79763767776522</c:v>
                </c:pt>
                <c:pt idx="380">
                  <c:v>109.49314884065132</c:v>
                </c:pt>
                <c:pt idx="381">
                  <c:v>109.18963738333495</c:v>
                </c:pt>
                <c:pt idx="382">
                  <c:v>108.88709918879719</c:v>
                </c:pt>
                <c:pt idx="383">
                  <c:v>108.58553016199636</c:v>
                </c:pt>
                <c:pt idx="384">
                  <c:v>108.28492622972723</c:v>
                </c:pt>
                <c:pt idx="385">
                  <c:v>107.98528334048031</c:v>
                </c:pt>
                <c:pt idx="386">
                  <c:v>107.6865974643037</c:v>
                </c:pt>
                <c:pt idx="387">
                  <c:v>107.3888645926644</c:v>
                </c:pt>
                <c:pt idx="388">
                  <c:v>107.09208073831198</c:v>
                </c:pt>
                <c:pt idx="389">
                  <c:v>106.79624193514228</c:v>
                </c:pt>
                <c:pt idx="390">
                  <c:v>106.50134423806277</c:v>
                </c:pt>
                <c:pt idx="391">
                  <c:v>106.20738372285875</c:v>
                </c:pt>
                <c:pt idx="392">
                  <c:v>105.91435648606006</c:v>
                </c:pt>
                <c:pt idx="393">
                  <c:v>105.62225864480992</c:v>
                </c:pt>
                <c:pt idx="394">
                  <c:v>105.33108633673325</c:v>
                </c:pt>
                <c:pt idx="395">
                  <c:v>105.04083571980735</c:v>
                </c:pt>
                <c:pt idx="396">
                  <c:v>104.75150297223267</c:v>
                </c:pt>
                <c:pt idx="397">
                  <c:v>104.46308429230488</c:v>
                </c:pt>
                <c:pt idx="398">
                  <c:v>104.17557589828765</c:v>
                </c:pt>
                <c:pt idx="399">
                  <c:v>103.88897402828691</c:v>
                </c:pt>
                <c:pt idx="400">
                  <c:v>103.60327494012523</c:v>
                </c:pt>
                <c:pt idx="401">
                  <c:v>100.77624625302462</c:v>
                </c:pt>
                <c:pt idx="402">
                  <c:v>98.036935466183934</c:v>
                </c:pt>
                <c:pt idx="403">
                  <c:v>95.381809941141313</c:v>
                </c:pt>
                <c:pt idx="404">
                  <c:v>92.807516164315558</c:v>
                </c:pt>
                <c:pt idx="405">
                  <c:v>90.310868915661246</c:v>
                </c:pt>
                <c:pt idx="406">
                  <c:v>87.888841197500767</c:v>
                </c:pt>
                <c:pt idx="407">
                  <c:v>85.538554862975403</c:v>
                </c:pt>
                <c:pt idx="408">
                  <c:v>83.25727188894767</c:v>
                </c:pt>
                <c:pt idx="409">
                  <c:v>81.042386243043723</c:v>
                </c:pt>
                <c:pt idx="410">
                  <c:v>78.891416298913867</c:v>
                </c:pt>
                <c:pt idx="411">
                  <c:v>76.801997757754691</c:v>
                </c:pt>
                <c:pt idx="412">
                  <c:v>74.771877037722234</c:v>
                </c:pt>
                <c:pt idx="413">
                  <c:v>72.798905096116854</c:v>
                </c:pt>
                <c:pt idx="414">
                  <c:v>70.881031652165831</c:v>
                </c:pt>
                <c:pt idx="415">
                  <c:v>69.016299780902585</c:v>
                </c:pt>
                <c:pt idx="416">
                  <c:v>67.202840851069652</c:v>
                </c:pt>
                <c:pt idx="417">
                  <c:v>65.438869782181172</c:v>
                </c:pt>
                <c:pt idx="418">
                  <c:v>63.722680597888143</c:v>
                </c:pt>
                <c:pt idx="419">
                  <c:v>62.05264225462146</c:v>
                </c:pt>
                <c:pt idx="420">
                  <c:v>60.427194726154191</c:v>
                </c:pt>
                <c:pt idx="421">
                  <c:v>58.844845326247999</c:v>
                </c:pt>
                <c:pt idx="422">
                  <c:v>57.304165252938532</c:v>
                </c:pt>
                <c:pt idx="423">
                  <c:v>55.803786339283938</c:v>
                </c:pt>
                <c:pt idx="424">
                  <c:v>54.342397996564635</c:v>
                </c:pt>
                <c:pt idx="425">
                  <c:v>52.918744336984645</c:v>
                </c:pt>
                <c:pt idx="426">
                  <c:v>51.531621463900528</c:v>
                </c:pt>
                <c:pt idx="427">
                  <c:v>50.179874918497639</c:v>
                </c:pt>
                <c:pt idx="428">
                  <c:v>48.862397272652551</c:v>
                </c:pt>
                <c:pt idx="429">
                  <c:v>47.578125858474664</c:v>
                </c:pt>
                <c:pt idx="430">
                  <c:v>46.326040625711819</c:v>
                </c:pt>
                <c:pt idx="431">
                  <c:v>45.10516211884012</c:v>
                </c:pt>
                <c:pt idx="432">
                  <c:v>43.914549566245292</c:v>
                </c:pt>
                <c:pt idx="433">
                  <c:v>42.753299074441244</c:v>
                </c:pt>
                <c:pt idx="434">
                  <c:v>41.620541920768751</c:v>
                </c:pt>
                <c:pt idx="435">
                  <c:v>40.5154429384758</c:v>
                </c:pt>
                <c:pt idx="436">
                  <c:v>39.437198988503916</c:v>
                </c:pt>
                <c:pt idx="437">
                  <c:v>38.385037512695007</c:v>
                </c:pt>
                <c:pt idx="438">
                  <c:v>37.358215163495053</c:v>
                </c:pt>
                <c:pt idx="439">
                  <c:v>36.356016505563382</c:v>
                </c:pt>
                <c:pt idx="440">
                  <c:v>35.377752785006216</c:v>
                </c:pt>
                <c:pt idx="441">
                  <c:v>34.422760762237985</c:v>
                </c:pt>
                <c:pt idx="442">
                  <c:v>33.490401604738963</c:v>
                </c:pt>
                <c:pt idx="443">
                  <c:v>32.580059836223121</c:v>
                </c:pt>
                <c:pt idx="444">
                  <c:v>31.691142338957725</c:v>
                </c:pt>
                <c:pt idx="445">
                  <c:v>30.823077406186659</c:v>
                </c:pt>
                <c:pt idx="446">
                  <c:v>29.975313841806539</c:v>
                </c:pt>
                <c:pt idx="447">
                  <c:v>29.147320104625482</c:v>
                </c:pt>
                <c:pt idx="448">
                  <c:v>28.338583494704888</c:v>
                </c:pt>
                <c:pt idx="449">
                  <c:v>27.548609379440869</c:v>
                </c:pt>
                <c:pt idx="450">
                  <c:v>26.776920457189178</c:v>
                </c:pt>
                <c:pt idx="451">
                  <c:v>26.023056056373381</c:v>
                </c:pt>
                <c:pt idx="452">
                  <c:v>25.286571468143148</c:v>
                </c:pt>
                <c:pt idx="453">
                  <c:v>24.567037310768015</c:v>
                </c:pt>
                <c:pt idx="454">
                  <c:v>23.864038924061838</c:v>
                </c:pt>
                <c:pt idx="455">
                  <c:v>23.177175792236788</c:v>
                </c:pt>
                <c:pt idx="456">
                  <c:v>22.506060993681132</c:v>
                </c:pt>
                <c:pt idx="457">
                  <c:v>21.850320676245087</c:v>
                </c:pt>
                <c:pt idx="458">
                  <c:v>21.209593556702977</c:v>
                </c:pt>
                <c:pt idx="459">
                  <c:v>20.583530443137764</c:v>
                </c:pt>
                <c:pt idx="460">
                  <c:v>19.971793779067777</c:v>
                </c:pt>
                <c:pt idx="461">
                  <c:v>19.374057208203727</c:v>
                </c:pt>
                <c:pt idx="462">
                  <c:v>18.790005158788194</c:v>
                </c:pt>
                <c:pt idx="463">
                  <c:v>18.219332446530032</c:v>
                </c:pt>
                <c:pt idx="464">
                  <c:v>17.661743895202061</c:v>
                </c:pt>
                <c:pt idx="465">
                  <c:v>17.116953974023687</c:v>
                </c:pt>
                <c:pt idx="466">
                  <c:v>16.58468645099871</c:v>
                </c:pt>
                <c:pt idx="467">
                  <c:v>16.06467406142583</c:v>
                </c:pt>
                <c:pt idx="468">
                  <c:v>15.556658190842272</c:v>
                </c:pt>
                <c:pt idx="469">
                  <c:v>15.060388571701868</c:v>
                </c:pt>
                <c:pt idx="470">
                  <c:v>14.575622993127636</c:v>
                </c:pt>
                <c:pt idx="471">
                  <c:v>14.102127023114626</c:v>
                </c:pt>
                <c:pt idx="472">
                  <c:v>13.639673742592477</c:v>
                </c:pt>
                <c:pt idx="473">
                  <c:v>13.188043490789761</c:v>
                </c:pt>
                <c:pt idx="474">
                  <c:v>12.747023621371165</c:v>
                </c:pt>
                <c:pt idx="475">
                  <c:v>12.316408268847372</c:v>
                </c:pt>
                <c:pt idx="476">
                  <c:v>11.895998124784073</c:v>
                </c:pt>
                <c:pt idx="477">
                  <c:v>11.485600223360919</c:v>
                </c:pt>
                <c:pt idx="478">
                  <c:v>11.085027735855526</c:v>
                </c:pt>
                <c:pt idx="479">
                  <c:v>10.694099773649217</c:v>
                </c:pt>
                <c:pt idx="480">
                  <c:v>10.31264119937236</c:v>
                </c:pt>
                <c:pt idx="481">
                  <c:v>9.9404824458268024</c:v>
                </c:pt>
                <c:pt idx="482">
                  <c:v>9.5774593423414682</c:v>
                </c:pt>
                <c:pt idx="483">
                  <c:v>9.2234129482346052</c:v>
                </c:pt>
                <c:pt idx="484">
                  <c:v>8.8781893930728639</c:v>
                </c:pt>
                <c:pt idx="485">
                  <c:v>8.5416397234328905</c:v>
                </c:pt>
                <c:pt idx="486">
                  <c:v>8.2136197558856558</c:v>
                </c:pt>
                <c:pt idx="487">
                  <c:v>7.8939899359379728</c:v>
                </c:pt>
                <c:pt idx="488">
                  <c:v>7.5826152026783546</c:v>
                </c:pt>
                <c:pt idx="489">
                  <c:v>7.2793648588869804</c:v>
                </c:pt>
                <c:pt idx="490">
                  <c:v>6.9841124463810065</c:v>
                </c:pt>
                <c:pt idx="491">
                  <c:v>6.6967356263775013</c:v>
                </c:pt>
                <c:pt idx="492">
                  <c:v>6.4171160646665824</c:v>
                </c:pt>
                <c:pt idx="493">
                  <c:v>6.1451393213969858</c:v>
                </c:pt>
                <c:pt idx="494">
                  <c:v>5.8806947452855098</c:v>
                </c:pt>
                <c:pt idx="495">
                  <c:v>5.6236753720702</c:v>
                </c:pt>
                <c:pt idx="496">
                  <c:v>5.3739778270352225</c:v>
                </c:pt>
                <c:pt idx="497">
                  <c:v>5.1315022314427079</c:v>
                </c:pt>
                <c:pt idx="498">
                  <c:v>4.8961521127138541</c:v>
                </c:pt>
                <c:pt idx="499">
                  <c:v>4.6678343182078379</c:v>
                </c:pt>
                <c:pt idx="500">
                  <c:v>4.446458932452888</c:v>
                </c:pt>
                <c:pt idx="501">
                  <c:v>4.2319391976892229</c:v>
                </c:pt>
                <c:pt idx="502">
                  <c:v>4.0241914375880183</c:v>
                </c:pt>
                <c:pt idx="503">
                  <c:v>3.8231349840148536</c:v>
                </c:pt>
                <c:pt idx="504">
                  <c:v>3.6286921067091753</c:v>
                </c:pt>
                <c:pt idx="505">
                  <c:v>3.4407879457542796</c:v>
                </c:pt>
                <c:pt idx="506">
                  <c:v>3.2593504467138721</c:v>
                </c:pt>
                <c:pt idx="507">
                  <c:v>3.0843102983124449</c:v>
                </c:pt>
                <c:pt idx="508">
                  <c:v>2.9156008725365199</c:v>
                </c:pt>
                <c:pt idx="509">
                  <c:v>2.7531581670325505</c:v>
                </c:pt>
                <c:pt idx="510">
                  <c:v>2.5969207496747742</c:v>
                </c:pt>
                <c:pt idx="511">
                  <c:v>2.4468297051718677</c:v>
                </c:pt>
                <c:pt idx="512">
                  <c:v>2.3028285835752729</c:v>
                </c:pt>
                <c:pt idx="513">
                  <c:v>2.1648633505434849</c:v>
                </c:pt>
                <c:pt idx="514">
                  <c:v>2.0328823392054747</c:v>
                </c:pt>
                <c:pt idx="515">
                  <c:v>1.9068362034518833</c:v>
                </c:pt>
                <c:pt idx="516">
                  <c:v>1.7866778724642125</c:v>
                </c:pt>
                <c:pt idx="517">
                  <c:v>1.6723625062690524</c:v>
                </c:pt>
                <c:pt idx="518">
                  <c:v>1.5638474520755161</c:v>
                </c:pt>
                <c:pt idx="519">
                  <c:v>1.4610922011184166</c:v>
                </c:pt>
                <c:pt idx="520">
                  <c:v>1.3640583456862005</c:v>
                </c:pt>
                <c:pt idx="521">
                  <c:v>1.272709535959762</c:v>
                </c:pt>
                <c:pt idx="522">
                  <c:v>1.1870114362249531</c:v>
                </c:pt>
                <c:pt idx="523">
                  <c:v>1.1069316799465938</c:v>
                </c:pt>
                <c:pt idx="524">
                  <c:v>1.0324398231044642</c:v>
                </c:pt>
                <c:pt idx="525">
                  <c:v>0.96350729509240396</c:v>
                </c:pt>
                <c:pt idx="526">
                  <c:v>0.90010734637191936</c:v>
                </c:pt>
                <c:pt idx="527">
                  <c:v>0.842214991955899</c:v>
                </c:pt>
                <c:pt idx="528">
                  <c:v>0.78980694968385834</c:v>
                </c:pt>
                <c:pt idx="529">
                  <c:v>0.74286157215023718</c:v>
                </c:pt>
                <c:pt idx="530">
                  <c:v>0.70135877108036826</c:v>
                </c:pt>
                <c:pt idx="531">
                  <c:v>0.66527993294013066</c:v>
                </c:pt>
                <c:pt idx="532">
                  <c:v>0.63460782464613708</c:v>
                </c:pt>
                <c:pt idx="533">
                  <c:v>0.60932648844715565</c:v>
                </c:pt>
                <c:pt idx="534">
                  <c:v>0.58942112540365343</c:v>
                </c:pt>
                <c:pt idx="535">
                  <c:v>0.57487796741565966</c:v>
                </c:pt>
                <c:pt idx="536">
                  <c:v>0.56568413842782694</c:v>
                </c:pt>
                <c:pt idx="537">
                  <c:v>0.56182750622589117</c:v>
                </c:pt>
                <c:pt idx="538">
                  <c:v>0.56329652704302269</c:v>
                </c:pt>
                <c:pt idx="539">
                  <c:v>0.57008008590139903</c:v>
                </c:pt>
                <c:pt idx="540">
                  <c:v>0.58216733610348448</c:v>
                </c:pt>
                <c:pt idx="541">
                  <c:v>0.5995475414669611</c:v>
                </c:pt>
                <c:pt idx="542">
                  <c:v>0.62220992473160375</c:v>
                </c:pt>
                <c:pt idx="543">
                  <c:v>0.65014352508819129</c:v>
                </c:pt>
                <c:pt idx="544">
                  <c:v>0.6833370670788097</c:v>
                </c:pt>
                <c:pt idx="545">
                  <c:v>0.72177884231469713</c:v>
                </c:pt>
                <c:pt idx="546">
                  <c:v>0.76545660466942689</c:v>
                </c:pt>
                <c:pt idx="547">
                  <c:v>0.81435747892135868</c:v>
                </c:pt>
                <c:pt idx="548">
                  <c:v>0.86846788229034155</c:v>
                </c:pt>
                <c:pt idx="549">
                  <c:v>0.92777345795288446</c:v>
                </c:pt>
                <c:pt idx="550">
                  <c:v>0.99225901941321415</c:v>
                </c:pt>
                <c:pt idx="551">
                  <c:v>1.061908504525753</c:v>
                </c:pt>
                <c:pt idx="552">
                  <c:v>1.1367049379736893</c:v>
                </c:pt>
                <c:pt idx="553">
                  <c:v>1.2166304010769766</c:v>
                </c:pt>
                <c:pt idx="554">
                  <c:v>1.3016660079055846</c:v>
                </c:pt>
                <c:pt idx="555">
                  <c:v>1.391791886791016</c:v>
                </c:pt>
                <c:pt idx="556">
                  <c:v>1.4869871664481715</c:v>
                </c:pt>
                <c:pt idx="557">
                  <c:v>1.5872299660326041</c:v>
                </c:pt>
                <c:pt idx="558">
                  <c:v>1.6924973885608534</c:v>
                </c:pt>
                <c:pt idx="559">
                  <c:v>1.8027655172119816</c:v>
                </c:pt>
                <c:pt idx="560">
                  <c:v>1.918009414106516</c:v>
                </c:pt>
                <c:pt idx="561">
                  <c:v>2.0382031212253664</c:v>
                </c:pt>
                <c:pt idx="562">
                  <c:v>2.1633196631870306</c:v>
                </c:pt>
                <c:pt idx="563">
                  <c:v>2.2933310516479906</c:v>
                </c:pt>
                <c:pt idx="564">
                  <c:v>2.428208291129712</c:v>
                </c:pt>
                <c:pt idx="565">
                  <c:v>2.5679213861076122</c:v>
                </c:pt>
                <c:pt idx="566">
                  <c:v>2.7124393492235668</c:v>
                </c:pt>
                <c:pt idx="567">
                  <c:v>2.861730210505224</c:v>
                </c:pt>
                <c:pt idx="568">
                  <c:v>3.0157610274931175</c:v>
                </c:pt>
                <c:pt idx="569">
                  <c:v>3.1744978961912333</c:v>
                </c:pt>
                <c:pt idx="570">
                  <c:v>3.337905962768728</c:v>
                </c:pt>
                <c:pt idx="571">
                  <c:v>3.5059494359504049</c:v>
                </c:pt>
                <c:pt idx="572">
                  <c:v>3.6785916000417362</c:v>
                </c:pt>
                <c:pt idx="573">
                  <c:v>3.8557948285409789</c:v>
                </c:pt>
                <c:pt idx="574">
                  <c:v>4.0375205982965214</c:v>
                </c:pt>
                <c:pt idx="575">
                  <c:v>4.2237295041722316</c:v>
                </c:pt>
                <c:pt idx="576">
                  <c:v>4.4143812741873969</c:v>
                </c:pt>
                <c:pt idx="577">
                  <c:v>4.6094347851011097</c:v>
                </c:pt>
                <c:pt idx="578">
                  <c:v>4.8088480784135115</c:v>
                </c:pt>
                <c:pt idx="579">
                  <c:v>5.0125783767586451</c:v>
                </c:pt>
                <c:pt idx="580">
                  <c:v>5.2205821006654451</c:v>
                </c:pt>
                <c:pt idx="581">
                  <c:v>5.4328148856649987</c:v>
                </c:pt>
                <c:pt idx="582">
                  <c:v>5.6492315997235201</c:v>
                </c:pt>
                <c:pt idx="583">
                  <c:v>5.8697863609815721</c:v>
                </c:pt>
                <c:pt idx="584">
                  <c:v>6.0944325557810153</c:v>
                </c:pt>
                <c:pt idx="585">
                  <c:v>6.323122856961974</c:v>
                </c:pt>
                <c:pt idx="586">
                  <c:v>6.5558092424127601</c:v>
                </c:pt>
                <c:pt idx="587">
                  <c:v>6.7924430138563219</c:v>
                </c:pt>
                <c:pt idx="588">
                  <c:v>7.0329748158571848</c:v>
                </c:pt>
                <c:pt idx="589">
                  <c:v>7.2773546550334363</c:v>
                </c:pt>
                <c:pt idx="590">
                  <c:v>7.525531919458551</c:v>
                </c:pt>
                <c:pt idx="591">
                  <c:v>7.7774553982382404</c:v>
                </c:pt>
                <c:pt idx="592">
                  <c:v>8.0330733012477893</c:v>
                </c:pt>
                <c:pt idx="593">
                  <c:v>8.2923332790156685</c:v>
                </c:pt>
                <c:pt idx="594">
                  <c:v>8.5551824427393068</c:v>
                </c:pt>
                <c:pt idx="595">
                  <c:v>8.8215673844193141</c:v>
                </c:pt>
                <c:pt idx="596">
                  <c:v>9.0914341970984864</c:v>
                </c:pt>
                <c:pt idx="597">
                  <c:v>9.3647284951922014</c:v>
                </c:pt>
                <c:pt idx="598">
                  <c:v>9.6413954348969728</c:v>
                </c:pt>
                <c:pt idx="599">
                  <c:v>9.9213797346641268</c:v>
                </c:pt>
                <c:pt idx="600">
                  <c:v>10.204625695725682</c:v>
                </c:pt>
                <c:pt idx="601">
                  <c:v>10.49107722265976</c:v>
                </c:pt>
                <c:pt idx="602">
                  <c:v>10.780677843982872</c:v>
                </c:pt>
                <c:pt idx="603">
                  <c:v>11.073370732756885</c:v>
                </c:pt>
                <c:pt idx="604">
                  <c:v>11.369098727198203</c:v>
                </c:pt>
                <c:pt idx="605">
                  <c:v>11.667804351277281</c:v>
                </c:pt>
                <c:pt idx="606">
                  <c:v>11.969429835296536</c:v>
                </c:pt>
                <c:pt idx="607">
                  <c:v>12.27391713643491</c:v>
                </c:pt>
                <c:pt idx="608">
                  <c:v>12.581207959247577</c:v>
                </c:pt>
                <c:pt idx="609">
                  <c:v>12.891243776109386</c:v>
                </c:pt>
                <c:pt idx="610">
                  <c:v>13.203965847590942</c:v>
                </c:pt>
                <c:pt idx="611">
                  <c:v>13.519315242756232</c:v>
                </c:pt>
                <c:pt idx="612">
                  <c:v>13.837232859371053</c:v>
                </c:pt>
                <c:pt idx="613">
                  <c:v>14.157659444011655</c:v>
                </c:pt>
                <c:pt idx="614">
                  <c:v>14.48053561206309</c:v>
                </c:pt>
                <c:pt idx="615">
                  <c:v>14.805801867597209</c:v>
                </c:pt>
                <c:pt idx="616">
                  <c:v>15.133398623120174</c:v>
                </c:pt>
                <c:pt idx="617">
                  <c:v>15.463266219179783</c:v>
                </c:pt>
                <c:pt idx="618">
                  <c:v>15.795344943822998</c:v>
                </c:pt>
                <c:pt idx="619">
                  <c:v>16.129575051894459</c:v>
                </c:pt>
                <c:pt idx="620">
                  <c:v>16.465896784166613</c:v>
                </c:pt>
                <c:pt idx="621">
                  <c:v>16.804250386292825</c:v>
                </c:pt>
                <c:pt idx="622">
                  <c:v>17.144576127574691</c:v>
                </c:pt>
                <c:pt idx="623">
                  <c:v>17.486814319535188</c:v>
                </c:pt>
                <c:pt idx="624">
                  <c:v>17.830905334289323</c:v>
                </c:pt>
                <c:pt idx="625">
                  <c:v>18.176789622704682</c:v>
                </c:pt>
                <c:pt idx="626">
                  <c:v>18.524407732343768</c:v>
                </c:pt>
                <c:pt idx="627">
                  <c:v>18.873700325181105</c:v>
                </c:pt>
                <c:pt idx="628">
                  <c:v>19.224608195087534</c:v>
                </c:pt>
                <c:pt idx="629">
                  <c:v>19.577072285075079</c:v>
                </c:pt>
                <c:pt idx="630">
                  <c:v>19.931033704295491</c:v>
                </c:pt>
                <c:pt idx="631">
                  <c:v>20.28643374478618</c:v>
                </c:pt>
                <c:pt idx="632">
                  <c:v>20.643213897957295</c:v>
                </c:pt>
                <c:pt idx="633">
                  <c:v>21.001315870814068</c:v>
                </c:pt>
                <c:pt idx="634">
                  <c:v>21.36068160190877</c:v>
                </c:pt>
                <c:pt idx="635">
                  <c:v>21.72125327701697</c:v>
                </c:pt>
                <c:pt idx="636">
                  <c:v>22.082973344532814</c:v>
                </c:pt>
                <c:pt idx="637">
                  <c:v>22.445784530578635</c:v>
                </c:pt>
                <c:pt idx="638">
                  <c:v>22.80962985382423</c:v>
                </c:pt>
                <c:pt idx="639">
                  <c:v>23.174452640011463</c:v>
                </c:pt>
                <c:pt idx="640">
                  <c:v>23.540196536180087</c:v>
                </c:pt>
                <c:pt idx="641">
                  <c:v>23.906805524591086</c:v>
                </c:pt>
                <c:pt idx="642">
                  <c:v>24.274223936343887</c:v>
                </c:pt>
                <c:pt idx="643">
                  <c:v>24.64239646468419</c:v>
                </c:pt>
                <c:pt idx="644">
                  <c:v>25.011268177999369</c:v>
                </c:pt>
                <c:pt idx="645">
                  <c:v>25.380784532498652</c:v>
                </c:pt>
                <c:pt idx="646">
                  <c:v>25.750891384575642</c:v>
                </c:pt>
                <c:pt idx="647">
                  <c:v>26.121535002850695</c:v>
                </c:pt>
                <c:pt idx="648">
                  <c:v>26.492662079891538</c:v>
                </c:pt>
                <c:pt idx="649">
                  <c:v>26.864219743609748</c:v>
                </c:pt>
                <c:pt idx="650">
                  <c:v>27.236155568332229</c:v>
                </c:pt>
                <c:pt idx="651">
                  <c:v>27.608417585545805</c:v>
                </c:pt>
                <c:pt idx="652">
                  <c:v>27.980954294314383</c:v>
                </c:pt>
                <c:pt idx="653">
                  <c:v>28.353714671367428</c:v>
                </c:pt>
                <c:pt idx="654">
                  <c:v>28.726648180859449</c:v>
                </c:pt>
                <c:pt idx="655">
                  <c:v>29.099704783800174</c:v>
                </c:pt>
                <c:pt idx="656">
                  <c:v>29.472834947154986</c:v>
                </c:pt>
                <c:pt idx="657">
                  <c:v>29.845989652616044</c:v>
                </c:pt>
                <c:pt idx="658">
                  <c:v>30.219120405044166</c:v>
                </c:pt>
                <c:pt idx="659">
                  <c:v>30.592179240582126</c:v>
                </c:pt>
                <c:pt idx="660">
                  <c:v>30.965118734440122</c:v>
                </c:pt>
                <c:pt idx="661">
                  <c:v>31.337892008354153</c:v>
                </c:pt>
                <c:pt idx="662">
                  <c:v>31.71045273771859</c:v>
                </c:pt>
                <c:pt idx="663">
                  <c:v>32.082755158394413</c:v>
                </c:pt>
                <c:pt idx="664">
                  <c:v>32.454754073194238</c:v>
                </c:pt>
                <c:pt idx="665">
                  <c:v>32.826404858046288</c:v>
                </c:pt>
                <c:pt idx="666">
                  <c:v>33.197663467838808</c:v>
                </c:pt>
                <c:pt idx="667">
                  <c:v>33.568486441947336</c:v>
                </c:pt>
                <c:pt idx="668">
                  <c:v>33.938830909446771</c:v>
                </c:pt>
                <c:pt idx="669">
                  <c:v>34.308654594010783</c:v>
                </c:pt>
                <c:pt idx="670">
                  <c:v>34.677915818501177</c:v>
                </c:pt>
                <c:pt idx="671">
                  <c:v>35.046573509249875</c:v>
                </c:pt>
                <c:pt idx="672">
                  <c:v>35.414587200036159</c:v>
                </c:pt>
                <c:pt idx="673">
                  <c:v>35.781917035762824</c:v>
                </c:pt>
                <c:pt idx="674">
                  <c:v>36.148523775833446</c:v>
                </c:pt>
                <c:pt idx="675">
                  <c:v>36.514368797235107</c:v>
                </c:pt>
                <c:pt idx="676">
                  <c:v>36.87941409732916</c:v>
                </c:pt>
                <c:pt idx="677">
                  <c:v>37.243622296353955</c:v>
                </c:pt>
                <c:pt idx="678">
                  <c:v>37.606956639643194</c:v>
                </c:pt>
                <c:pt idx="679">
                  <c:v>37.969380999563668</c:v>
                </c:pt>
                <c:pt idx="680">
                  <c:v>38.330859877176003</c:v>
                </c:pt>
                <c:pt idx="681">
                  <c:v>38.691358403622957</c:v>
                </c:pt>
                <c:pt idx="682">
                  <c:v>39.050842341248774</c:v>
                </c:pt>
                <c:pt idx="683">
                  <c:v>39.409278084454073</c:v>
                </c:pt>
                <c:pt idx="684">
                  <c:v>39.766632660290611</c:v>
                </c:pt>
                <c:pt idx="685">
                  <c:v>40.122873728799966</c:v>
                </c:pt>
                <c:pt idx="686">
                  <c:v>40.477969583100958</c:v>
                </c:pt>
                <c:pt idx="687">
                  <c:v>40.831889149229944</c:v>
                </c:pt>
                <c:pt idx="688">
                  <c:v>41.184601985738659</c:v>
                </c:pt>
                <c:pt idx="689">
                  <c:v>41.536078283054614</c:v>
                </c:pt>
                <c:pt idx="690">
                  <c:v>41.886288862607913</c:v>
                </c:pt>
                <c:pt idx="691">
                  <c:v>42.235205175730144</c:v>
                </c:pt>
                <c:pt idx="692">
                  <c:v>42.582799302329462</c:v>
                </c:pt>
                <c:pt idx="693">
                  <c:v>42.929043949346969</c:v>
                </c:pt>
                <c:pt idx="694">
                  <c:v>43.273912448999297</c:v>
                </c:pt>
                <c:pt idx="695">
                  <c:v>43.617378756812137</c:v>
                </c:pt>
                <c:pt idx="696">
                  <c:v>43.959417449449681</c:v>
                </c:pt>
                <c:pt idx="697">
                  <c:v>44.300003722345124</c:v>
                </c:pt>
                <c:pt idx="698">
                  <c:v>44.639113387136817</c:v>
                </c:pt>
                <c:pt idx="699">
                  <c:v>44.976722868915566</c:v>
                </c:pt>
                <c:pt idx="700">
                  <c:v>45.312809203287415</c:v>
                </c:pt>
                <c:pt idx="701">
                  <c:v>45.647350033257716</c:v>
                </c:pt>
                <c:pt idx="702">
                  <c:v>45.98032360594074</c:v>
                </c:pt>
                <c:pt idx="703">
                  <c:v>46.311708769100449</c:v>
                </c:pt>
                <c:pt idx="704">
                  <c:v>46.641484967526893</c:v>
                </c:pt>
                <c:pt idx="705">
                  <c:v>46.969632239253748</c:v>
                </c:pt>
                <c:pt idx="706">
                  <c:v>47.29613121162172</c:v>
                </c:pt>
                <c:pt idx="707">
                  <c:v>47.620963097192671</c:v>
                </c:pt>
                <c:pt idx="708">
                  <c:v>47.944109689519593</c:v>
                </c:pt>
                <c:pt idx="709">
                  <c:v>48.265553358777552</c:v>
                </c:pt>
                <c:pt idx="710">
                  <c:v>48.585277047260078</c:v>
                </c:pt>
                <c:pt idx="711">
                  <c:v>48.903264264746134</c:v>
                </c:pt>
                <c:pt idx="712">
                  <c:v>49.219499083742534</c:v>
                </c:pt>
                <c:pt idx="713">
                  <c:v>49.533966134606722</c:v>
                </c:pt>
                <c:pt idx="714">
                  <c:v>49.846650600554277</c:v>
                </c:pt>
                <c:pt idx="715">
                  <c:v>50.15753821255629</c:v>
                </c:pt>
                <c:pt idx="716">
                  <c:v>50.466615244131404</c:v>
                </c:pt>
                <c:pt idx="717">
                  <c:v>50.773868506036571</c:v>
                </c:pt>
                <c:pt idx="718">
                  <c:v>51.079285340861894</c:v>
                </c:pt>
                <c:pt idx="719">
                  <c:v>51.382853617533655</c:v>
                </c:pt>
                <c:pt idx="720">
                  <c:v>51.684561725729857</c:v>
                </c:pt>
                <c:pt idx="721">
                  <c:v>51.984398570213727</c:v>
                </c:pt>
                <c:pt idx="722">
                  <c:v>52.282353565087959</c:v>
                </c:pt>
                <c:pt idx="723">
                  <c:v>52.578416627975948</c:v>
                </c:pt>
                <c:pt idx="724">
                  <c:v>52.872578174132691</c:v>
                </c:pt>
                <c:pt idx="725">
                  <c:v>53.164829110490317</c:v>
                </c:pt>
                <c:pt idx="726">
                  <c:v>53.455160829642757</c:v>
                </c:pt>
                <c:pt idx="727">
                  <c:v>53.743565203772739</c:v>
                </c:pt>
                <c:pt idx="728">
                  <c:v>54.03003457852607</c:v>
                </c:pt>
                <c:pt idx="729">
                  <c:v>54.314561766836498</c:v>
                </c:pt>
                <c:pt idx="730">
                  <c:v>54.597140042705568</c:v>
                </c:pt>
                <c:pt idx="731">
                  <c:v>54.877763134940906</c:v>
                </c:pt>
                <c:pt idx="732">
                  <c:v>55.156425220857166</c:v>
                </c:pt>
                <c:pt idx="733">
                  <c:v>55.433120919942759</c:v>
                </c:pt>
                <c:pt idx="734">
                  <c:v>55.707845287496838</c:v>
                </c:pt>
                <c:pt idx="735">
                  <c:v>55.98059380823895</c:v>
                </c:pt>
                <c:pt idx="736">
                  <c:v>56.251362389895995</c:v>
                </c:pt>
                <c:pt idx="737">
                  <c:v>56.520147356769442</c:v>
                </c:pt>
                <c:pt idx="738">
                  <c:v>56.520413616100107</c:v>
                </c:pt>
                <c:pt idx="739">
                  <c:v>56.520679873462399</c:v>
                </c:pt>
                <c:pt idx="740">
                  <c:v>56.520946128856345</c:v>
                </c:pt>
                <c:pt idx="741">
                  <c:v>56.521212382281909</c:v>
                </c:pt>
                <c:pt idx="742">
                  <c:v>56.521478633739065</c:v>
                </c:pt>
                <c:pt idx="743">
                  <c:v>56.521744883227832</c:v>
                </c:pt>
                <c:pt idx="744">
                  <c:v>56.522011130748204</c:v>
                </c:pt>
                <c:pt idx="745">
                  <c:v>56.522277376300195</c:v>
                </c:pt>
                <c:pt idx="746">
                  <c:v>56.522543619883812</c:v>
                </c:pt>
                <c:pt idx="747">
                  <c:v>56.522809861498956</c:v>
                </c:pt>
                <c:pt idx="748">
                  <c:v>56.523076101145762</c:v>
                </c:pt>
                <c:pt idx="749">
                  <c:v>56.523342338824136</c:v>
                </c:pt>
                <c:pt idx="750">
                  <c:v>56.523608574534109</c:v>
                </c:pt>
                <c:pt idx="751">
                  <c:v>56.523874808275671</c:v>
                </c:pt>
                <c:pt idx="752">
                  <c:v>56.524141040048825</c:v>
                </c:pt>
                <c:pt idx="753">
                  <c:v>56.524407269853548</c:v>
                </c:pt>
                <c:pt idx="754">
                  <c:v>56.524673497689854</c:v>
                </c:pt>
                <c:pt idx="755">
                  <c:v>56.524939723557736</c:v>
                </c:pt>
                <c:pt idx="756">
                  <c:v>56.525205947457238</c:v>
                </c:pt>
                <c:pt idx="757">
                  <c:v>56.525472169388252</c:v>
                </c:pt>
                <c:pt idx="758">
                  <c:v>56.52573838935087</c:v>
                </c:pt>
                <c:pt idx="759">
                  <c:v>56.526004607344987</c:v>
                </c:pt>
                <c:pt idx="760">
                  <c:v>56.526270823370709</c:v>
                </c:pt>
                <c:pt idx="761">
                  <c:v>56.526537037428035</c:v>
                </c:pt>
                <c:pt idx="762">
                  <c:v>56.526803249516888</c:v>
                </c:pt>
                <c:pt idx="763">
                  <c:v>56.527069459637261</c:v>
                </c:pt>
                <c:pt idx="764">
                  <c:v>56.527335667789202</c:v>
                </c:pt>
                <c:pt idx="765">
                  <c:v>56.527601873972664</c:v>
                </c:pt>
                <c:pt idx="766">
                  <c:v>56.527868078187744</c:v>
                </c:pt>
                <c:pt idx="767">
                  <c:v>56.52813428043433</c:v>
                </c:pt>
                <c:pt idx="768">
                  <c:v>56.528400480712428</c:v>
                </c:pt>
                <c:pt idx="769">
                  <c:v>56.528666679022059</c:v>
                </c:pt>
                <c:pt idx="770">
                  <c:v>56.528932875363274</c:v>
                </c:pt>
                <c:pt idx="771">
                  <c:v>56.529199069735981</c:v>
                </c:pt>
                <c:pt idx="772">
                  <c:v>56.529465262140221</c:v>
                </c:pt>
                <c:pt idx="773">
                  <c:v>56.529731452575973</c:v>
                </c:pt>
                <c:pt idx="774">
                  <c:v>56.529997641043302</c:v>
                </c:pt>
                <c:pt idx="775">
                  <c:v>56.530263827542107</c:v>
                </c:pt>
                <c:pt idx="776">
                  <c:v>56.530530012072425</c:v>
                </c:pt>
                <c:pt idx="777">
                  <c:v>56.53079619463427</c:v>
                </c:pt>
                <c:pt idx="778">
                  <c:v>56.531062375227613</c:v>
                </c:pt>
                <c:pt idx="779">
                  <c:v>56.531328553852468</c:v>
                </c:pt>
                <c:pt idx="780">
                  <c:v>56.531594730508814</c:v>
                </c:pt>
                <c:pt idx="781">
                  <c:v>56.531860905196666</c:v>
                </c:pt>
                <c:pt idx="782">
                  <c:v>56.532127077916066</c:v>
                </c:pt>
                <c:pt idx="783">
                  <c:v>56.532393248666885</c:v>
                </c:pt>
                <c:pt idx="784">
                  <c:v>56.532659417449217</c:v>
                </c:pt>
                <c:pt idx="785">
                  <c:v>56.532925584263069</c:v>
                </c:pt>
                <c:pt idx="786">
                  <c:v>56.53319174910839</c:v>
                </c:pt>
                <c:pt idx="787">
                  <c:v>56.533457911985231</c:v>
                </c:pt>
                <c:pt idx="788">
                  <c:v>56.53372407289352</c:v>
                </c:pt>
                <c:pt idx="789">
                  <c:v>56.5339902318333</c:v>
                </c:pt>
                <c:pt idx="790">
                  <c:v>56.534256388804515</c:v>
                </c:pt>
                <c:pt idx="791">
                  <c:v>56.53452254380727</c:v>
                </c:pt>
                <c:pt idx="792">
                  <c:v>56.534788696841439</c:v>
                </c:pt>
                <c:pt idx="793">
                  <c:v>56.535054847907105</c:v>
                </c:pt>
                <c:pt idx="794">
                  <c:v>56.535320997004213</c:v>
                </c:pt>
                <c:pt idx="795">
                  <c:v>56.535587144132798</c:v>
                </c:pt>
                <c:pt idx="796">
                  <c:v>56.535853289292845</c:v>
                </c:pt>
                <c:pt idx="797">
                  <c:v>56.536119432484327</c:v>
                </c:pt>
                <c:pt idx="798">
                  <c:v>56.536385573707285</c:v>
                </c:pt>
                <c:pt idx="799">
                  <c:v>56.536651712961678</c:v>
                </c:pt>
                <c:pt idx="800">
                  <c:v>56.536917850247484</c:v>
                </c:pt>
                <c:pt idx="801">
                  <c:v>56.537183985564788</c:v>
                </c:pt>
                <c:pt idx="802">
                  <c:v>56.537450118913505</c:v>
                </c:pt>
                <c:pt idx="803">
                  <c:v>56.537716250293691</c:v>
                </c:pt>
                <c:pt idx="804">
                  <c:v>56.537982379705312</c:v>
                </c:pt>
                <c:pt idx="805">
                  <c:v>56.538248507148339</c:v>
                </c:pt>
                <c:pt idx="806">
                  <c:v>56.538514632622785</c:v>
                </c:pt>
                <c:pt idx="807">
                  <c:v>56.538780756128695</c:v>
                </c:pt>
                <c:pt idx="808">
                  <c:v>56.539046877666003</c:v>
                </c:pt>
                <c:pt idx="809">
                  <c:v>56.539312997234752</c:v>
                </c:pt>
                <c:pt idx="810">
                  <c:v>56.539579114834901</c:v>
                </c:pt>
                <c:pt idx="811">
                  <c:v>56.539845230466462</c:v>
                </c:pt>
                <c:pt idx="812">
                  <c:v>56.54011134412945</c:v>
                </c:pt>
                <c:pt idx="813">
                  <c:v>56.540377455823823</c:v>
                </c:pt>
                <c:pt idx="814">
                  <c:v>56.540643565549644</c:v>
                </c:pt>
                <c:pt idx="815">
                  <c:v>56.5409096733068</c:v>
                </c:pt>
                <c:pt idx="816">
                  <c:v>56.54117577909544</c:v>
                </c:pt>
                <c:pt idx="817">
                  <c:v>56.541441882915436</c:v>
                </c:pt>
                <c:pt idx="818">
                  <c:v>56.541707984766838</c:v>
                </c:pt>
                <c:pt idx="819">
                  <c:v>56.541974084649588</c:v>
                </c:pt>
                <c:pt idx="820">
                  <c:v>56.542240182563766</c:v>
                </c:pt>
                <c:pt idx="821">
                  <c:v>56.542506278509308</c:v>
                </c:pt>
                <c:pt idx="822">
                  <c:v>56.542772372486247</c:v>
                </c:pt>
                <c:pt idx="823">
                  <c:v>56.543038464494607</c:v>
                </c:pt>
                <c:pt idx="824">
                  <c:v>56.543304554534281</c:v>
                </c:pt>
                <c:pt idx="825">
                  <c:v>56.543570642605388</c:v>
                </c:pt>
                <c:pt idx="826">
                  <c:v>56.543836728707817</c:v>
                </c:pt>
                <c:pt idx="827">
                  <c:v>56.544102812841679</c:v>
                </c:pt>
                <c:pt idx="828">
                  <c:v>56.544368895006826</c:v>
                </c:pt>
                <c:pt idx="829">
                  <c:v>56.544634975203415</c:v>
                </c:pt>
                <c:pt idx="830">
                  <c:v>56.544901053431289</c:v>
                </c:pt>
                <c:pt idx="831">
                  <c:v>56.545167129690533</c:v>
                </c:pt>
                <c:pt idx="832">
                  <c:v>56.54543320398119</c:v>
                </c:pt>
                <c:pt idx="833">
                  <c:v>56.545699276303182</c:v>
                </c:pt>
                <c:pt idx="834">
                  <c:v>56.545965346656502</c:v>
                </c:pt>
                <c:pt idx="835">
                  <c:v>56.546231415041149</c:v>
                </c:pt>
                <c:pt idx="836">
                  <c:v>56.546497481457209</c:v>
                </c:pt>
                <c:pt idx="837">
                  <c:v>56.54676354590454</c:v>
                </c:pt>
                <c:pt idx="838">
                  <c:v>56.547029608383227</c:v>
                </c:pt>
                <c:pt idx="839">
                  <c:v>56.547295668893241</c:v>
                </c:pt>
                <c:pt idx="840">
                  <c:v>56.547561727434612</c:v>
                </c:pt>
                <c:pt idx="841">
                  <c:v>56.547827784007296</c:v>
                </c:pt>
                <c:pt idx="842">
                  <c:v>56.548093838611337</c:v>
                </c:pt>
                <c:pt idx="843">
                  <c:v>56.548359891246648</c:v>
                </c:pt>
                <c:pt idx="844">
                  <c:v>56.548625941913308</c:v>
                </c:pt>
                <c:pt idx="845">
                  <c:v>56.548891990611274</c:v>
                </c:pt>
                <c:pt idx="846">
                  <c:v>56.549158037340575</c:v>
                </c:pt>
                <c:pt idx="847">
                  <c:v>56.549424082101176</c:v>
                </c:pt>
                <c:pt idx="848">
                  <c:v>56.549690124893068</c:v>
                </c:pt>
                <c:pt idx="849">
                  <c:v>56.549956165716281</c:v>
                </c:pt>
                <c:pt idx="850">
                  <c:v>56.550222204570794</c:v>
                </c:pt>
                <c:pt idx="851">
                  <c:v>56.55048824145662</c:v>
                </c:pt>
                <c:pt idx="852">
                  <c:v>56.550754276373738</c:v>
                </c:pt>
                <c:pt idx="853">
                  <c:v>56.551020309322155</c:v>
                </c:pt>
                <c:pt idx="854">
                  <c:v>56.55128634030185</c:v>
                </c:pt>
                <c:pt idx="855">
                  <c:v>56.551552369312859</c:v>
                </c:pt>
                <c:pt idx="856">
                  <c:v>56.551818396355117</c:v>
                </c:pt>
                <c:pt idx="857">
                  <c:v>56.552084421428688</c:v>
                </c:pt>
                <c:pt idx="858">
                  <c:v>56.552350444533531</c:v>
                </c:pt>
                <c:pt idx="859">
                  <c:v>56.552616465669637</c:v>
                </c:pt>
                <c:pt idx="860">
                  <c:v>56.552882484837035</c:v>
                </c:pt>
                <c:pt idx="861">
                  <c:v>56.553148502035704</c:v>
                </c:pt>
                <c:pt idx="862">
                  <c:v>56.553414517265644</c:v>
                </c:pt>
                <c:pt idx="863">
                  <c:v>56.553680530526883</c:v>
                </c:pt>
                <c:pt idx="864">
                  <c:v>56.553946541819322</c:v>
                </c:pt>
                <c:pt idx="865">
                  <c:v>56.554212551143046</c:v>
                </c:pt>
                <c:pt idx="866">
                  <c:v>56.554478558498012</c:v>
                </c:pt>
                <c:pt idx="867">
                  <c:v>56.55474456388427</c:v>
                </c:pt>
                <c:pt idx="868">
                  <c:v>56.55501056730175</c:v>
                </c:pt>
                <c:pt idx="869">
                  <c:v>56.555276568750507</c:v>
                </c:pt>
                <c:pt idx="870">
                  <c:v>56.5555425682305</c:v>
                </c:pt>
                <c:pt idx="871">
                  <c:v>56.5558085657417</c:v>
                </c:pt>
                <c:pt idx="872">
                  <c:v>56.556074561284149</c:v>
                </c:pt>
                <c:pt idx="873">
                  <c:v>56.556340554857861</c:v>
                </c:pt>
                <c:pt idx="874">
                  <c:v>56.556606546462802</c:v>
                </c:pt>
                <c:pt idx="875">
                  <c:v>56.556872536098986</c:v>
                </c:pt>
                <c:pt idx="876">
                  <c:v>56.557138523766369</c:v>
                </c:pt>
                <c:pt idx="877">
                  <c:v>56.557404509465023</c:v>
                </c:pt>
                <c:pt idx="878">
                  <c:v>56.557670493194863</c:v>
                </c:pt>
                <c:pt idx="879">
                  <c:v>56.557936474955945</c:v>
                </c:pt>
                <c:pt idx="880">
                  <c:v>56.558202454748233</c:v>
                </c:pt>
                <c:pt idx="881">
                  <c:v>56.558468432571743</c:v>
                </c:pt>
                <c:pt idx="882">
                  <c:v>56.558734408426439</c:v>
                </c:pt>
                <c:pt idx="883">
                  <c:v>56.559000382312355</c:v>
                </c:pt>
                <c:pt idx="884">
                  <c:v>56.5592663542295</c:v>
                </c:pt>
                <c:pt idx="885">
                  <c:v>56.559532324177816</c:v>
                </c:pt>
                <c:pt idx="886">
                  <c:v>56.559798292157382</c:v>
                </c:pt>
                <c:pt idx="887">
                  <c:v>56.560064258168097</c:v>
                </c:pt>
                <c:pt idx="888">
                  <c:v>56.560330222209991</c:v>
                </c:pt>
                <c:pt idx="889">
                  <c:v>56.560596184283142</c:v>
                </c:pt>
                <c:pt idx="890">
                  <c:v>56.56086214438745</c:v>
                </c:pt>
                <c:pt idx="891">
                  <c:v>56.56112810252295</c:v>
                </c:pt>
                <c:pt idx="892">
                  <c:v>56.561394058689615</c:v>
                </c:pt>
                <c:pt idx="893">
                  <c:v>56.561660012887501</c:v>
                </c:pt>
                <c:pt idx="894">
                  <c:v>56.561925965116522</c:v>
                </c:pt>
                <c:pt idx="895">
                  <c:v>56.562191915376744</c:v>
                </c:pt>
                <c:pt idx="896">
                  <c:v>56.562457863668136</c:v>
                </c:pt>
                <c:pt idx="897">
                  <c:v>56.562723809990672</c:v>
                </c:pt>
                <c:pt idx="898">
                  <c:v>56.562989754344393</c:v>
                </c:pt>
                <c:pt idx="899">
                  <c:v>56.563255696729286</c:v>
                </c:pt>
                <c:pt idx="900">
                  <c:v>56.563521637145328</c:v>
                </c:pt>
                <c:pt idx="901">
                  <c:v>56.563787575592521</c:v>
                </c:pt>
                <c:pt idx="902">
                  <c:v>56.564053512070906</c:v>
                </c:pt>
                <c:pt idx="903">
                  <c:v>56.564319446580413</c:v>
                </c:pt>
                <c:pt idx="904">
                  <c:v>56.564585379121048</c:v>
                </c:pt>
                <c:pt idx="905">
                  <c:v>56.564851309692841</c:v>
                </c:pt>
                <c:pt idx="906">
                  <c:v>56.565117238295784</c:v>
                </c:pt>
                <c:pt idx="907">
                  <c:v>56.565383164929891</c:v>
                </c:pt>
                <c:pt idx="908">
                  <c:v>56.565649089595098</c:v>
                </c:pt>
                <c:pt idx="909">
                  <c:v>56.565915012291477</c:v>
                </c:pt>
                <c:pt idx="910">
                  <c:v>56.566180933018963</c:v>
                </c:pt>
                <c:pt idx="911">
                  <c:v>56.566446851777606</c:v>
                </c:pt>
                <c:pt idx="912">
                  <c:v>56.566712768567314</c:v>
                </c:pt>
                <c:pt idx="913">
                  <c:v>56.566978683388221</c:v>
                </c:pt>
                <c:pt idx="914">
                  <c:v>56.567244596240201</c:v>
                </c:pt>
                <c:pt idx="915">
                  <c:v>56.567510507123309</c:v>
                </c:pt>
                <c:pt idx="916">
                  <c:v>56.567776416037539</c:v>
                </c:pt>
                <c:pt idx="917">
                  <c:v>56.568042322982897</c:v>
                </c:pt>
                <c:pt idx="918">
                  <c:v>56.568308227959363</c:v>
                </c:pt>
                <c:pt idx="919">
                  <c:v>56.568574130966908</c:v>
                </c:pt>
                <c:pt idx="920">
                  <c:v>56.568840032005554</c:v>
                </c:pt>
                <c:pt idx="921">
                  <c:v>56.569105931075342</c:v>
                </c:pt>
                <c:pt idx="922">
                  <c:v>56.569371828176216</c:v>
                </c:pt>
                <c:pt idx="923">
                  <c:v>56.569637723308155</c:v>
                </c:pt>
                <c:pt idx="924">
                  <c:v>56.569903616471201</c:v>
                </c:pt>
                <c:pt idx="925">
                  <c:v>56.570169507665355</c:v>
                </c:pt>
                <c:pt idx="926">
                  <c:v>56.570435396890566</c:v>
                </c:pt>
                <c:pt idx="927">
                  <c:v>56.570701284146907</c:v>
                </c:pt>
                <c:pt idx="928">
                  <c:v>56.570967169434311</c:v>
                </c:pt>
                <c:pt idx="929">
                  <c:v>56.57123305275276</c:v>
                </c:pt>
                <c:pt idx="930">
                  <c:v>56.571498934102301</c:v>
                </c:pt>
                <c:pt idx="931">
                  <c:v>56.571764813482964</c:v>
                </c:pt>
                <c:pt idx="932">
                  <c:v>56.57203069089465</c:v>
                </c:pt>
                <c:pt idx="933">
                  <c:v>56.572296566337407</c:v>
                </c:pt>
                <c:pt idx="934">
                  <c:v>56.572562439811222</c:v>
                </c:pt>
                <c:pt idx="935">
                  <c:v>56.572828311316108</c:v>
                </c:pt>
                <c:pt idx="936">
                  <c:v>56.573094180852046</c:v>
                </c:pt>
                <c:pt idx="937">
                  <c:v>56.573360048419055</c:v>
                </c:pt>
                <c:pt idx="938">
                  <c:v>56.573625914017086</c:v>
                </c:pt>
                <c:pt idx="939">
                  <c:v>56.573891777646203</c:v>
                </c:pt>
                <c:pt idx="940">
                  <c:v>56.574157639306357</c:v>
                </c:pt>
                <c:pt idx="941">
                  <c:v>56.574423498997518</c:v>
                </c:pt>
                <c:pt idx="942">
                  <c:v>56.574689356719759</c:v>
                </c:pt>
                <c:pt idx="943">
                  <c:v>56.574955212473043</c:v>
                </c:pt>
                <c:pt idx="944">
                  <c:v>56.575221066257356</c:v>
                </c:pt>
                <c:pt idx="945">
                  <c:v>56.575486918072691</c:v>
                </c:pt>
                <c:pt idx="946">
                  <c:v>56.575752767919056</c:v>
                </c:pt>
                <c:pt idx="947">
                  <c:v>56.576018615796443</c:v>
                </c:pt>
                <c:pt idx="948">
                  <c:v>56.576284461704873</c:v>
                </c:pt>
                <c:pt idx="949">
                  <c:v>56.576550305644311</c:v>
                </c:pt>
                <c:pt idx="950">
                  <c:v>56.576816147614771</c:v>
                </c:pt>
                <c:pt idx="951">
                  <c:v>56.577081987616275</c:v>
                </c:pt>
                <c:pt idx="952">
                  <c:v>56.577347825648765</c:v>
                </c:pt>
                <c:pt idx="953">
                  <c:v>56.577613661712277</c:v>
                </c:pt>
                <c:pt idx="954">
                  <c:v>56.577879495806812</c:v>
                </c:pt>
                <c:pt idx="955">
                  <c:v>56.578145327932319</c:v>
                </c:pt>
                <c:pt idx="956">
                  <c:v>56.578411158088862</c:v>
                </c:pt>
                <c:pt idx="957">
                  <c:v>56.578676986276399</c:v>
                </c:pt>
                <c:pt idx="958">
                  <c:v>56.578942812494901</c:v>
                </c:pt>
                <c:pt idx="959">
                  <c:v>56.579208636744404</c:v>
                </c:pt>
                <c:pt idx="960">
                  <c:v>56.579474459024901</c:v>
                </c:pt>
                <c:pt idx="961">
                  <c:v>56.579740279336399</c:v>
                </c:pt>
                <c:pt idx="962">
                  <c:v>56.580006097678854</c:v>
                </c:pt>
                <c:pt idx="963">
                  <c:v>56.580271914052325</c:v>
                </c:pt>
                <c:pt idx="964">
                  <c:v>56.580537728456747</c:v>
                </c:pt>
                <c:pt idx="965">
                  <c:v>56.580803540892205</c:v>
                </c:pt>
                <c:pt idx="966">
                  <c:v>56.581069351358572</c:v>
                </c:pt>
                <c:pt idx="967">
                  <c:v>56.581335159855911</c:v>
                </c:pt>
                <c:pt idx="968">
                  <c:v>56.581600966384272</c:v>
                </c:pt>
                <c:pt idx="969">
                  <c:v>56.581866770943584</c:v>
                </c:pt>
                <c:pt idx="970">
                  <c:v>56.582132573533833</c:v>
                </c:pt>
                <c:pt idx="971">
                  <c:v>56.582398374155062</c:v>
                </c:pt>
                <c:pt idx="972">
                  <c:v>56.58266417280722</c:v>
                </c:pt>
                <c:pt idx="973">
                  <c:v>56.582929969490365</c:v>
                </c:pt>
                <c:pt idx="974">
                  <c:v>56.583195764204433</c:v>
                </c:pt>
                <c:pt idx="975">
                  <c:v>56.583461556949452</c:v>
                </c:pt>
                <c:pt idx="976">
                  <c:v>56.583727347725443</c:v>
                </c:pt>
                <c:pt idx="977">
                  <c:v>56.583993136532342</c:v>
                </c:pt>
                <c:pt idx="978">
                  <c:v>56.584258923370214</c:v>
                </c:pt>
                <c:pt idx="979">
                  <c:v>56.58452470823903</c:v>
                </c:pt>
                <c:pt idx="980">
                  <c:v>56.584790491138754</c:v>
                </c:pt>
                <c:pt idx="981">
                  <c:v>56.585056272069394</c:v>
                </c:pt>
                <c:pt idx="982">
                  <c:v>56.585322051031028</c:v>
                </c:pt>
                <c:pt idx="983">
                  <c:v>56.585587828023563</c:v>
                </c:pt>
                <c:pt idx="984">
                  <c:v>56.585853603046985</c:v>
                </c:pt>
                <c:pt idx="985">
                  <c:v>56.586119376101358</c:v>
                </c:pt>
                <c:pt idx="986">
                  <c:v>56.586385147186611</c:v>
                </c:pt>
                <c:pt idx="987">
                  <c:v>56.58665091630283</c:v>
                </c:pt>
                <c:pt idx="988">
                  <c:v>56.586916683449935</c:v>
                </c:pt>
                <c:pt idx="989">
                  <c:v>56.587182448627964</c:v>
                </c:pt>
                <c:pt idx="990">
                  <c:v>56.587448211836879</c:v>
                </c:pt>
                <c:pt idx="991">
                  <c:v>56.587713973076703</c:v>
                </c:pt>
                <c:pt idx="992">
                  <c:v>56.587979732347449</c:v>
                </c:pt>
                <c:pt idx="993">
                  <c:v>56.588245489649083</c:v>
                </c:pt>
                <c:pt idx="994">
                  <c:v>56.588511244981575</c:v>
                </c:pt>
                <c:pt idx="995">
                  <c:v>56.588776998345026</c:v>
                </c:pt>
                <c:pt idx="996">
                  <c:v>56.58904274973932</c:v>
                </c:pt>
                <c:pt idx="997">
                  <c:v>56.589308499164538</c:v>
                </c:pt>
                <c:pt idx="998">
                  <c:v>56.589574246620607</c:v>
                </c:pt>
                <c:pt idx="999">
                  <c:v>56.589839992107564</c:v>
                </c:pt>
                <c:pt idx="1000">
                  <c:v>56.590105735625443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33-7045-93AD-06357D4B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997744"/>
        <c:axId val="1"/>
      </c:scatterChart>
      <c:valAx>
        <c:axId val="928997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Forces [N]</a:t>
                </a:r>
              </a:p>
            </c:rich>
          </c:tx>
          <c:layout>
            <c:manualLayout>
              <c:xMode val="edge"/>
              <c:yMode val="edge"/>
              <c:x val="2.0047169811320754E-2"/>
              <c:y val="0.333334383202099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28997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456931973537896"/>
          <c:y val="0.34616601298281663"/>
          <c:w val="0.12046826702267209"/>
          <c:h val="0.222230033026005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Courbes!$B$140</c:f>
          <c:strCache>
            <c:ptCount val="1"/>
            <c:pt idx="0">
              <c:v>Vitesse</c:v>
            </c:pt>
          </c:strCache>
        </c:strRef>
      </c:tx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495283018867926"/>
          <c:y val="9.4771544282144501E-2"/>
          <c:w val="0.87617924528302105"/>
          <c:h val="0.74183243282920064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Courbes!$B$140</c:f>
              <c:strCache>
                <c:ptCount val="1"/>
                <c:pt idx="0">
                  <c:v>Vitesse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Calculs!$I$4:$I$1004</c:f>
              <c:numCache>
                <c:formatCode>0.00</c:formatCode>
                <c:ptCount val="1001"/>
                <c:pt idx="0">
                  <c:v>0</c:v>
                </c:pt>
                <c:pt idx="1">
                  <c:v>7.1525722605425479E-3</c:v>
                </c:pt>
                <c:pt idx="2">
                  <c:v>0.22411337836940609</c:v>
                </c:pt>
                <c:pt idx="3">
                  <c:v>0.65100374974183572</c:v>
                </c:pt>
                <c:pt idx="4">
                  <c:v>1.2880104223719386</c:v>
                </c:pt>
                <c:pt idx="5">
                  <c:v>2.1353847288618719</c:v>
                </c:pt>
                <c:pt idx="6">
                  <c:v>3.0870710300991924</c:v>
                </c:pt>
                <c:pt idx="7">
                  <c:v>4.0368048846602598</c:v>
                </c:pt>
                <c:pt idx="8">
                  <c:v>4.98457608502921</c:v>
                </c:pt>
                <c:pt idx="9">
                  <c:v>5.9303744579588278</c:v>
                </c:pt>
                <c:pt idx="10">
                  <c:v>6.8741898648624336</c:v>
                </c:pt>
                <c:pt idx="11">
                  <c:v>7.8160122022030425</c:v>
                </c:pt>
                <c:pt idx="12">
                  <c:v>8.7558314018797354</c:v>
                </c:pt>
                <c:pt idx="13">
                  <c:v>9.6936374316112257</c:v>
                </c:pt>
                <c:pt idx="14">
                  <c:v>10.629420295316573</c:v>
                </c:pt>
                <c:pt idx="15">
                  <c:v>11.563170033493011</c:v>
                </c:pt>
                <c:pt idx="16">
                  <c:v>12.494876723590865</c:v>
                </c:pt>
                <c:pt idx="17">
                  <c:v>13.424530480385526</c:v>
                </c:pt>
                <c:pt idx="18">
                  <c:v>14.352121456346413</c:v>
                </c:pt>
                <c:pt idx="19">
                  <c:v>15.277639842002975</c:v>
                </c:pt>
                <c:pt idx="20">
                  <c:v>16.201075866307576</c:v>
                </c:pt>
                <c:pt idx="21">
                  <c:v>17.122419796995381</c:v>
                </c:pt>
                <c:pt idx="22">
                  <c:v>18.041661940941054</c:v>
                </c:pt>
                <c:pt idx="23">
                  <c:v>18.958792644512389</c:v>
                </c:pt>
                <c:pt idx="24">
                  <c:v>19.873802293920708</c:v>
                </c:pt>
                <c:pt idx="25">
                  <c:v>20.786681315568117</c:v>
                </c:pt>
                <c:pt idx="26">
                  <c:v>21.697420176391507</c:v>
                </c:pt>
                <c:pt idx="27">
                  <c:v>22.606009384203269</c:v>
                </c:pt>
                <c:pt idx="28">
                  <c:v>23.512439488028793</c:v>
                </c:pt>
                <c:pt idx="29">
                  <c:v>24.416701078440596</c:v>
                </c:pt>
                <c:pt idx="30">
                  <c:v>25.318784787889133</c:v>
                </c:pt>
                <c:pt idx="31">
                  <c:v>26.218681291030229</c:v>
                </c:pt>
                <c:pt idx="32">
                  <c:v>27.11638130504916</c:v>
                </c:pt>
                <c:pt idx="33">
                  <c:v>28.011876855158519</c:v>
                </c:pt>
                <c:pt idx="34">
                  <c:v>28.905160061596224</c:v>
                </c:pt>
                <c:pt idx="35">
                  <c:v>29.796221708997059</c:v>
                </c:pt>
                <c:pt idx="36">
                  <c:v>30.685052629174841</c:v>
                </c:pt>
                <c:pt idx="37">
                  <c:v>31.571643701135095</c:v>
                </c:pt>
                <c:pt idx="38">
                  <c:v>32.455985851126236</c:v>
                </c:pt>
                <c:pt idx="39">
                  <c:v>33.338070052714187</c:v>
                </c:pt>
                <c:pt idx="40">
                  <c:v>34.217887326876628</c:v>
                </c:pt>
                <c:pt idx="41">
                  <c:v>35.095428742114272</c:v>
                </c:pt>
                <c:pt idx="42">
                  <c:v>35.970685414576117</c:v>
                </c:pt>
                <c:pt idx="43">
                  <c:v>36.843648508196992</c:v>
                </c:pt>
                <c:pt idx="44">
                  <c:v>37.714309234845068</c:v>
                </c:pt>
                <c:pt idx="45">
                  <c:v>38.58265885447809</c:v>
                </c:pt>
                <c:pt idx="46">
                  <c:v>39.448688675306698</c:v>
                </c:pt>
                <c:pt idx="47">
                  <c:v>40.312390053963682</c:v>
                </c:pt>
                <c:pt idx="48">
                  <c:v>41.173754395678181</c:v>
                </c:pt>
                <c:pt idx="49">
                  <c:v>42.03277315445375</c:v>
                </c:pt>
                <c:pt idx="50">
                  <c:v>42.889437833249708</c:v>
                </c:pt>
                <c:pt idx="51">
                  <c:v>43.744300564603982</c:v>
                </c:pt>
                <c:pt idx="52">
                  <c:v>44.597914413628615</c:v>
                </c:pt>
                <c:pt idx="53">
                  <c:v>45.450272241196956</c:v>
                </c:pt>
                <c:pt idx="54">
                  <c:v>46.301366930449035</c:v>
                </c:pt>
                <c:pt idx="55">
                  <c:v>47.151191386979015</c:v>
                </c:pt>
                <c:pt idx="56">
                  <c:v>47.999738539024506</c:v>
                </c:pt>
                <c:pt idx="57">
                  <c:v>48.847001337657687</c:v>
                </c:pt>
                <c:pt idx="58">
                  <c:v>49.692972756977781</c:v>
                </c:pt>
                <c:pt idx="59">
                  <c:v>50.537645794304609</c:v>
                </c:pt>
                <c:pt idx="60">
                  <c:v>51.381013470373141</c:v>
                </c:pt>
                <c:pt idx="61">
                  <c:v>52.223068829528643</c:v>
                </c:pt>
                <c:pt idx="62">
                  <c:v>53.063804939922392</c:v>
                </c:pt>
                <c:pt idx="63">
                  <c:v>53.903214893707684</c:v>
                </c:pt>
                <c:pt idx="64">
                  <c:v>54.741291807235989</c:v>
                </c:pt>
                <c:pt idx="65">
                  <c:v>55.578028821253156</c:v>
                </c:pt>
                <c:pt idx="66">
                  <c:v>56.413419101095435</c:v>
                </c:pt>
                <c:pt idx="67">
                  <c:v>57.247455836885315</c:v>
                </c:pt>
                <c:pt idx="68">
                  <c:v>58.08013224372695</c:v>
                </c:pt>
                <c:pt idx="69">
                  <c:v>58.911441561901142</c:v>
                </c:pt>
                <c:pt idx="70">
                  <c:v>59.741377057059772</c:v>
                </c:pt>
                <c:pt idx="71">
                  <c:v>60.569932020419508</c:v>
                </c:pt>
                <c:pt idx="72">
                  <c:v>61.397099768954824</c:v>
                </c:pt>
                <c:pt idx="73">
                  <c:v>62.222873645590248</c:v>
                </c:pt>
                <c:pt idx="74">
                  <c:v>63.047247019391556</c:v>
                </c:pt>
                <c:pt idx="75">
                  <c:v>63.870213285756172</c:v>
                </c:pt>
                <c:pt idx="76">
                  <c:v>64.691765866602466</c:v>
                </c:pt>
                <c:pt idx="77">
                  <c:v>65.511898210557931</c:v>
                </c:pt>
                <c:pt idx="78">
                  <c:v>66.330603793146295</c:v>
                </c:pt>
                <c:pt idx="79">
                  <c:v>67.147876116973407</c:v>
                </c:pt>
                <c:pt idx="80">
                  <c:v>67.963708711911849</c:v>
                </c:pt>
                <c:pt idx="81">
                  <c:v>68.778095135284275</c:v>
                </c:pt>
                <c:pt idx="82">
                  <c:v>69.59102897204545</c:v>
                </c:pt>
                <c:pt idx="83">
                  <c:v>70.402503834962886</c:v>
                </c:pt>
                <c:pt idx="84">
                  <c:v>71.212513364796038</c:v>
                </c:pt>
                <c:pt idx="85">
                  <c:v>72.021051230474072</c:v>
                </c:pt>
                <c:pt idx="86">
                  <c:v>72.828111129272159</c:v>
                </c:pt>
                <c:pt idx="87">
                  <c:v>73.633686786986203</c:v>
                </c:pt>
                <c:pt idx="88">
                  <c:v>74.437771958106097</c:v>
                </c:pt>
                <c:pt idx="89">
                  <c:v>75.240360425987305</c:v>
                </c:pt>
                <c:pt idx="90">
                  <c:v>76.041446003020937</c:v>
                </c:pt>
                <c:pt idx="91">
                  <c:v>76.841022530801979</c:v>
                </c:pt>
                <c:pt idx="92">
                  <c:v>77.639083880296184</c:v>
                </c:pt>
                <c:pt idx="93">
                  <c:v>78.435623952004988</c:v>
                </c:pt>
                <c:pt idx="94">
                  <c:v>79.230636676128839</c:v>
                </c:pt>
                <c:pt idx="95">
                  <c:v>80.024116012728811</c:v>
                </c:pt>
                <c:pt idx="96">
                  <c:v>80.816055951886341</c:v>
                </c:pt>
                <c:pt idx="97">
                  <c:v>81.606450513861375</c:v>
                </c:pt>
                <c:pt idx="98">
                  <c:v>82.395293749248566</c:v>
                </c:pt>
                <c:pt idx="99">
                  <c:v>83.182579739131711</c:v>
                </c:pt>
                <c:pt idx="100">
                  <c:v>83.968302595236366</c:v>
                </c:pt>
                <c:pt idx="101">
                  <c:v>84.752197607367449</c:v>
                </c:pt>
                <c:pt idx="102">
                  <c:v>85.533999803097814</c:v>
                </c:pt>
                <c:pt idx="103">
                  <c:v>86.313703044377988</c:v>
                </c:pt>
                <c:pt idx="104">
                  <c:v>87.091301236480049</c:v>
                </c:pt>
                <c:pt idx="105">
                  <c:v>87.866788328121487</c:v>
                </c:pt>
                <c:pt idx="106">
                  <c:v>88.640158311586447</c:v>
                </c:pt>
                <c:pt idx="107">
                  <c:v>89.411405222843868</c:v>
                </c:pt>
                <c:pt idx="108">
                  <c:v>90.180523141662988</c:v>
                </c:pt>
                <c:pt idx="109">
                  <c:v>90.94750619172568</c:v>
                </c:pt>
                <c:pt idx="110">
                  <c:v>91.712348540736045</c:v>
                </c:pt>
                <c:pt idx="111">
                  <c:v>92.475044400527182</c:v>
                </c:pt>
                <c:pt idx="112">
                  <c:v>93.235588027164738</c:v>
                </c:pt>
                <c:pt idx="113">
                  <c:v>93.993973721047837</c:v>
                </c:pt>
                <c:pt idx="114">
                  <c:v>94.750195827006991</c:v>
                </c:pt>
                <c:pt idx="115">
                  <c:v>95.504248734398985</c:v>
                </c:pt>
                <c:pt idx="116">
                  <c:v>96.256126877198923</c:v>
                </c:pt>
                <c:pt idx="117">
                  <c:v>97.005824734089416</c:v>
                </c:pt>
                <c:pt idx="118">
                  <c:v>97.753336828546622</c:v>
                </c:pt>
                <c:pt idx="119">
                  <c:v>98.498657728923575</c:v>
                </c:pt>
                <c:pt idx="120">
                  <c:v>99.241782048530425</c:v>
                </c:pt>
                <c:pt idx="121">
                  <c:v>99.982704445711789</c:v>
                </c:pt>
                <c:pt idx="122">
                  <c:v>100.72141962392124</c:v>
                </c:pt>
                <c:pt idx="123">
                  <c:v>101.45792233179267</c:v>
                </c:pt>
                <c:pt idx="124">
                  <c:v>102.19220736320896</c:v>
                </c:pt>
                <c:pt idx="125">
                  <c:v>102.92426955736752</c:v>
                </c:pt>
                <c:pt idx="126">
                  <c:v>103.65410379884298</c:v>
                </c:pt>
                <c:pt idx="127">
                  <c:v>104.38170501764699</c:v>
                </c:pt>
                <c:pt idx="128">
                  <c:v>105.10706818928502</c:v>
                </c:pt>
                <c:pt idx="129">
                  <c:v>105.83018833481022</c:v>
                </c:pt>
                <c:pt idx="130">
                  <c:v>106.55106052087453</c:v>
                </c:pt>
                <c:pt idx="131">
                  <c:v>107.26967985977666</c:v>
                </c:pt>
                <c:pt idx="132">
                  <c:v>107.98604150950729</c:v>
                </c:pt>
                <c:pt idx="133">
                  <c:v>108.70014067379134</c:v>
                </c:pt>
                <c:pt idx="134">
                  <c:v>109.41197260212736</c:v>
                </c:pt>
                <c:pt idx="135">
                  <c:v>110.12153258982399</c:v>
                </c:pt>
                <c:pt idx="136">
                  <c:v>110.82881597803349</c:v>
                </c:pt>
                <c:pt idx="137">
                  <c:v>111.53381815378258</c:v>
                </c:pt>
                <c:pt idx="138">
                  <c:v>112.23653455000016</c:v>
                </c:pt>
                <c:pt idx="139">
                  <c:v>112.93696064554233</c:v>
                </c:pt>
                <c:pt idx="140">
                  <c:v>113.63509196521457</c:v>
                </c:pt>
                <c:pt idx="141">
                  <c:v>114.3309240797909</c:v>
                </c:pt>
                <c:pt idx="142">
                  <c:v>115.02445260603041</c:v>
                </c:pt>
                <c:pt idx="143">
                  <c:v>115.71567320669074</c:v>
                </c:pt>
                <c:pt idx="144">
                  <c:v>116.40458159053901</c:v>
                </c:pt>
                <c:pt idx="145">
                  <c:v>117.09117351235965</c:v>
                </c:pt>
                <c:pt idx="146">
                  <c:v>117.77544477295964</c:v>
                </c:pt>
                <c:pt idx="147">
                  <c:v>118.45739121917082</c:v>
                </c:pt>
                <c:pt idx="148">
                  <c:v>119.13700874384951</c:v>
                </c:pt>
                <c:pt idx="149">
                  <c:v>119.81429328587332</c:v>
                </c:pt>
                <c:pt idx="150">
                  <c:v>120.48924083013519</c:v>
                </c:pt>
                <c:pt idx="151">
                  <c:v>121.16193558821526</c:v>
                </c:pt>
                <c:pt idx="152">
                  <c:v>121.8324618748489</c:v>
                </c:pt>
                <c:pt idx="153">
                  <c:v>122.50081585152526</c:v>
                </c:pt>
                <c:pt idx="154">
                  <c:v>123.16699372180994</c:v>
                </c:pt>
                <c:pt idx="155">
                  <c:v>123.83099173134195</c:v>
                </c:pt>
                <c:pt idx="156">
                  <c:v>124.49280616782808</c:v>
                </c:pt>
                <c:pt idx="157">
                  <c:v>125.15243336103481</c:v>
                </c:pt>
                <c:pt idx="158">
                  <c:v>125.80986968277796</c:v>
                </c:pt>
                <c:pt idx="159">
                  <c:v>126.46511154690982</c:v>
                </c:pt>
                <c:pt idx="160">
                  <c:v>127.11815540930397</c:v>
                </c:pt>
                <c:pt idx="161">
                  <c:v>127.76899776783762</c:v>
                </c:pt>
                <c:pt idx="162">
                  <c:v>128.41763516237171</c:v>
                </c:pt>
                <c:pt idx="163">
                  <c:v>129.06406417472866</c:v>
                </c:pt>
                <c:pt idx="164">
                  <c:v>129.70828142866748</c:v>
                </c:pt>
                <c:pt idx="165">
                  <c:v>130.35028358985701</c:v>
                </c:pt>
                <c:pt idx="166">
                  <c:v>130.99006736584661</c:v>
                </c:pt>
                <c:pt idx="167">
                  <c:v>131.62762950603437</c:v>
                </c:pt>
                <c:pt idx="168">
                  <c:v>132.26296680163327</c:v>
                </c:pt>
                <c:pt idx="169">
                  <c:v>132.89607608563512</c:v>
                </c:pt>
                <c:pt idx="170">
                  <c:v>133.526954232772</c:v>
                </c:pt>
                <c:pt idx="171">
                  <c:v>134.15559815947546</c:v>
                </c:pt>
                <c:pt idx="172">
                  <c:v>134.78200482383369</c:v>
                </c:pt>
                <c:pt idx="173">
                  <c:v>135.40617122554627</c:v>
                </c:pt>
                <c:pt idx="174">
                  <c:v>136.0280944058768</c:v>
                </c:pt>
                <c:pt idx="175">
                  <c:v>136.64777144760319</c:v>
                </c:pt>
                <c:pt idx="176">
                  <c:v>137.26519947496598</c:v>
                </c:pt>
                <c:pt idx="177">
                  <c:v>137.88037565361438</c:v>
                </c:pt>
                <c:pt idx="178">
                  <c:v>138.49329719054992</c:v>
                </c:pt>
                <c:pt idx="179">
                  <c:v>139.10396133406846</c:v>
                </c:pt>
                <c:pt idx="180">
                  <c:v>139.71236537369955</c:v>
                </c:pt>
                <c:pt idx="181">
                  <c:v>140.31850664014414</c:v>
                </c:pt>
                <c:pt idx="182">
                  <c:v>140.92238250520958</c:v>
                </c:pt>
                <c:pt idx="183">
                  <c:v>141.52399038174329</c:v>
                </c:pt>
                <c:pt idx="184">
                  <c:v>142.1233277235637</c:v>
                </c:pt>
                <c:pt idx="185">
                  <c:v>142.7203920253896</c:v>
                </c:pt>
                <c:pt idx="186">
                  <c:v>143.31518082276708</c:v>
                </c:pt>
                <c:pt idx="187">
                  <c:v>143.9076916919947</c:v>
                </c:pt>
                <c:pt idx="188">
                  <c:v>144.4979222500466</c:v>
                </c:pt>
                <c:pt idx="189">
                  <c:v>145.08587015449353</c:v>
                </c:pt>
                <c:pt idx="190">
                  <c:v>145.67153310342192</c:v>
                </c:pt>
                <c:pt idx="191">
                  <c:v>146.25490883535107</c:v>
                </c:pt>
                <c:pt idx="192">
                  <c:v>146.83599512914842</c:v>
                </c:pt>
                <c:pt idx="193">
                  <c:v>147.41478980394263</c:v>
                </c:pt>
                <c:pt idx="194">
                  <c:v>147.99129071903516</c:v>
                </c:pt>
                <c:pt idx="195">
                  <c:v>148.56549577380949</c:v>
                </c:pt>
                <c:pt idx="196">
                  <c:v>149.13740290763891</c:v>
                </c:pt>
                <c:pt idx="197">
                  <c:v>149.70701009979217</c:v>
                </c:pt>
                <c:pt idx="198">
                  <c:v>150.27431536933719</c:v>
                </c:pt>
                <c:pt idx="199">
                  <c:v>150.83931677504339</c:v>
                </c:pt>
                <c:pt idx="200">
                  <c:v>151.40201241528166</c:v>
                </c:pt>
                <c:pt idx="201">
                  <c:v>151.96240042792292</c:v>
                </c:pt>
                <c:pt idx="202">
                  <c:v>152.52047899023484</c:v>
                </c:pt>
                <c:pt idx="203">
                  <c:v>153.07624631877655</c:v>
                </c:pt>
                <c:pt idx="204">
                  <c:v>153.62970066929194</c:v>
                </c:pt>
                <c:pt idx="205">
                  <c:v>154.18084033660105</c:v>
                </c:pt>
                <c:pt idx="206">
                  <c:v>154.7296636544898</c:v>
                </c:pt>
                <c:pt idx="207">
                  <c:v>155.27616899559794</c:v>
                </c:pt>
                <c:pt idx="208">
                  <c:v>155.82035477130563</c:v>
                </c:pt>
                <c:pt idx="209">
                  <c:v>156.36221943161786</c:v>
                </c:pt>
                <c:pt idx="210">
                  <c:v>156.90176146504771</c:v>
                </c:pt>
                <c:pt idx="211">
                  <c:v>157.43897939849774</c:v>
                </c:pt>
                <c:pt idx="212">
                  <c:v>157.97387179713985</c:v>
                </c:pt>
                <c:pt idx="213">
                  <c:v>158.50643726429357</c:v>
                </c:pt>
                <c:pt idx="214">
                  <c:v>159.03667444130275</c:v>
                </c:pt>
                <c:pt idx="215">
                  <c:v>159.56458200741062</c:v>
                </c:pt>
                <c:pt idx="216">
                  <c:v>160.09015867963365</c:v>
                </c:pt>
                <c:pt idx="217">
                  <c:v>160.61340321263344</c:v>
                </c:pt>
                <c:pt idx="218">
                  <c:v>161.13431439858746</c:v>
                </c:pt>
                <c:pt idx="219">
                  <c:v>161.65289106705822</c:v>
                </c:pt>
                <c:pt idx="220">
                  <c:v>162.16913208486093</c:v>
                </c:pt>
                <c:pt idx="221">
                  <c:v>162.68303635592977</c:v>
                </c:pt>
                <c:pt idx="222">
                  <c:v>163.1946028211828</c:v>
                </c:pt>
                <c:pt idx="223">
                  <c:v>163.70383045838528</c:v>
                </c:pt>
                <c:pt idx="224">
                  <c:v>164.21071828201184</c:v>
                </c:pt>
                <c:pt idx="225">
                  <c:v>164.71526534310726</c:v>
                </c:pt>
                <c:pt idx="226">
                  <c:v>165.21747072914559</c:v>
                </c:pt>
                <c:pt idx="227">
                  <c:v>165.71733356388845</c:v>
                </c:pt>
                <c:pt idx="228">
                  <c:v>166.2148530072416</c:v>
                </c:pt>
                <c:pt idx="229">
                  <c:v>166.7100282551105</c:v>
                </c:pt>
                <c:pt idx="230">
                  <c:v>167.20285853925429</c:v>
                </c:pt>
                <c:pt idx="231">
                  <c:v>167.693343127139</c:v>
                </c:pt>
                <c:pt idx="232">
                  <c:v>168.18148132178899</c:v>
                </c:pt>
                <c:pt idx="233">
                  <c:v>168.66727246163751</c:v>
                </c:pt>
                <c:pt idx="234">
                  <c:v>169.15071592037606</c:v>
                </c:pt>
                <c:pt idx="235">
                  <c:v>169.63181110680236</c:v>
                </c:pt>
                <c:pt idx="236">
                  <c:v>170.11055746466744</c:v>
                </c:pt>
                <c:pt idx="237">
                  <c:v>170.58695447252134</c:v>
                </c:pt>
                <c:pt idx="238">
                  <c:v>171.06100164355789</c:v>
                </c:pt>
                <c:pt idx="239">
                  <c:v>171.53269852545819</c:v>
                </c:pt>
                <c:pt idx="240">
                  <c:v>172.00204470023317</c:v>
                </c:pt>
                <c:pt idx="241">
                  <c:v>172.46903978406505</c:v>
                </c:pt>
                <c:pt idx="242">
                  <c:v>172.93368342714777</c:v>
                </c:pt>
                <c:pt idx="243">
                  <c:v>173.39597531352618</c:v>
                </c:pt>
                <c:pt idx="244">
                  <c:v>173.85591516093464</c:v>
                </c:pt>
                <c:pt idx="245">
                  <c:v>174.31350272063415</c:v>
                </c:pt>
                <c:pt idx="246">
                  <c:v>174.7687377772489</c:v>
                </c:pt>
                <c:pt idx="247">
                  <c:v>175.22162014860157</c:v>
                </c:pt>
                <c:pt idx="248">
                  <c:v>175.67214968554805</c:v>
                </c:pt>
                <c:pt idx="249">
                  <c:v>176.12032627181074</c:v>
                </c:pt>
                <c:pt idx="250">
                  <c:v>176.56614982381149</c:v>
                </c:pt>
                <c:pt idx="251">
                  <c:v>177.0092393319772</c:v>
                </c:pt>
                <c:pt idx="252">
                  <c:v>177.44921389238513</c:v>
                </c:pt>
                <c:pt idx="253">
                  <c:v>177.88607392879368</c:v>
                </c:pt>
                <c:pt idx="254">
                  <c:v>178.31981991011367</c:v>
                </c:pt>
                <c:pt idx="255">
                  <c:v>178.75045235011177</c:v>
                </c:pt>
                <c:pt idx="256">
                  <c:v>179.17797180711335</c:v>
                </c:pt>
                <c:pt idx="257">
                  <c:v>179.60237888370384</c:v>
                </c:pt>
                <c:pt idx="258">
                  <c:v>180.02367422642948</c:v>
                </c:pt>
                <c:pt idx="259">
                  <c:v>180.4418585254968</c:v>
                </c:pt>
                <c:pt idx="260">
                  <c:v>180.85693251447111</c:v>
                </c:pt>
                <c:pt idx="261">
                  <c:v>181.26889696997443</c:v>
                </c:pt>
                <c:pt idx="262">
                  <c:v>181.67775271138197</c:v>
                </c:pt>
                <c:pt idx="263">
                  <c:v>182.08350060051822</c:v>
                </c:pt>
                <c:pt idx="264">
                  <c:v>182.48614154135208</c:v>
                </c:pt>
                <c:pt idx="265">
                  <c:v>182.88567647969106</c:v>
                </c:pt>
                <c:pt idx="266">
                  <c:v>183.28210640287475</c:v>
                </c:pt>
                <c:pt idx="267">
                  <c:v>183.67543233946799</c:v>
                </c:pt>
                <c:pt idx="268">
                  <c:v>184.06565535895245</c:v>
                </c:pt>
                <c:pt idx="269">
                  <c:v>184.45277657141853</c:v>
                </c:pt>
                <c:pt idx="270">
                  <c:v>184.83679712725575</c:v>
                </c:pt>
                <c:pt idx="271">
                  <c:v>185.21771821684337</c:v>
                </c:pt>
                <c:pt idx="272">
                  <c:v>185.5955410702397</c:v>
                </c:pt>
                <c:pt idx="273">
                  <c:v>185.97026695687117</c:v>
                </c:pt>
                <c:pt idx="274">
                  <c:v>186.34189718522117</c:v>
                </c:pt>
                <c:pt idx="275">
                  <c:v>186.71043310251781</c:v>
                </c:pt>
                <c:pt idx="276">
                  <c:v>187.07587609442172</c:v>
                </c:pt>
                <c:pt idx="277">
                  <c:v>187.43822758471313</c:v>
                </c:pt>
                <c:pt idx="278">
                  <c:v>187.79748903497887</c:v>
                </c:pt>
                <c:pt idx="279">
                  <c:v>188.15366194429848</c:v>
                </c:pt>
                <c:pt idx="280">
                  <c:v>188.50674784893067</c:v>
                </c:pt>
                <c:pt idx="281">
                  <c:v>188.85674832199882</c:v>
                </c:pt>
                <c:pt idx="282">
                  <c:v>189.20366497317673</c:v>
                </c:pt>
                <c:pt idx="283">
                  <c:v>189.54749944837363</c:v>
                </c:pt>
                <c:pt idx="284">
                  <c:v>189.88825342941945</c:v>
                </c:pt>
                <c:pt idx="285">
                  <c:v>190.2259286337495</c:v>
                </c:pt>
                <c:pt idx="286">
                  <c:v>190.56052681408923</c:v>
                </c:pt>
                <c:pt idx="287">
                  <c:v>190.8920497581388</c:v>
                </c:pt>
                <c:pt idx="288">
                  <c:v>191.22049928825737</c:v>
                </c:pt>
                <c:pt idx="289">
                  <c:v>191.54587726114761</c:v>
                </c:pt>
                <c:pt idx="290">
                  <c:v>191.86818556753983</c:v>
                </c:pt>
                <c:pt idx="291">
                  <c:v>192.18742613187632</c:v>
                </c:pt>
                <c:pt idx="292">
                  <c:v>192.50360091199559</c:v>
                </c:pt>
                <c:pt idx="293">
                  <c:v>192.81671189881666</c:v>
                </c:pt>
                <c:pt idx="294">
                  <c:v>193.12676111602323</c:v>
                </c:pt>
                <c:pt idx="295">
                  <c:v>193.43375061974822</c:v>
                </c:pt>
                <c:pt idx="296">
                  <c:v>193.73768249825829</c:v>
                </c:pt>
                <c:pt idx="297">
                  <c:v>194.03855887163823</c:v>
                </c:pt>
                <c:pt idx="298">
                  <c:v>194.33219917012053</c:v>
                </c:pt>
                <c:pt idx="299">
                  <c:v>194.61442542892772</c:v>
                </c:pt>
                <c:pt idx="300">
                  <c:v>194.88524742485887</c:v>
                </c:pt>
                <c:pt idx="301">
                  <c:v>195.14467518551965</c:v>
                </c:pt>
                <c:pt idx="302">
                  <c:v>195.39271898541483</c:v>
                </c:pt>
                <c:pt idx="303">
                  <c:v>195.62938934204121</c:v>
                </c:pt>
                <c:pt idx="304">
                  <c:v>195.85469701198085</c:v>
                </c:pt>
                <c:pt idx="305">
                  <c:v>196.06865298699557</c:v>
                </c:pt>
                <c:pt idx="306">
                  <c:v>196.2712684901237</c:v>
                </c:pt>
                <c:pt idx="307">
                  <c:v>196.46255497177935</c:v>
                </c:pt>
                <c:pt idx="308">
                  <c:v>196.64252410585502</c:v>
                </c:pt>
                <c:pt idx="309">
                  <c:v>196.81118778582854</c:v>
                </c:pt>
                <c:pt idx="310">
                  <c:v>196.96855812087443</c:v>
                </c:pt>
                <c:pt idx="311">
                  <c:v>197.11464743198093</c:v>
                </c:pt>
                <c:pt idx="312">
                  <c:v>197.2494682480727</c:v>
                </c:pt>
                <c:pt idx="313">
                  <c:v>197.37303330214047</c:v>
                </c:pt>
                <c:pt idx="314">
                  <c:v>197.48535552737769</c:v>
                </c:pt>
                <c:pt idx="315">
                  <c:v>197.5864480533254</c:v>
                </c:pt>
                <c:pt idx="316">
                  <c:v>197.676324202025</c:v>
                </c:pt>
                <c:pt idx="317">
                  <c:v>197.75499748418054</c:v>
                </c:pt>
                <c:pt idx="318">
                  <c:v>197.82248159533046</c:v>
                </c:pt>
                <c:pt idx="319">
                  <c:v>197.87879041202925</c:v>
                </c:pt>
                <c:pt idx="320">
                  <c:v>197.92393798804028</c:v>
                </c:pt>
                <c:pt idx="321">
                  <c:v>197.95960204736957</c:v>
                </c:pt>
                <c:pt idx="322">
                  <c:v>197.98745853993756</c:v>
                </c:pt>
                <c:pt idx="323">
                  <c:v>198.00751761172515</c:v>
                </c:pt>
                <c:pt idx="324">
                  <c:v>198.01978948450801</c:v>
                </c:pt>
                <c:pt idx="325">
                  <c:v>198.0242844540212</c:v>
                </c:pt>
                <c:pt idx="326">
                  <c:v>198.02101288813085</c:v>
                </c:pt>
                <c:pt idx="327">
                  <c:v>198.00998522501484</c:v>
                </c:pt>
                <c:pt idx="328">
                  <c:v>197.99121197135148</c:v>
                </c:pt>
                <c:pt idx="329">
                  <c:v>197.96470370051662</c:v>
                </c:pt>
                <c:pt idx="330">
                  <c:v>197.93047105078981</c:v>
                </c:pt>
                <c:pt idx="331">
                  <c:v>197.88852472356854</c:v>
                </c:pt>
                <c:pt idx="332">
                  <c:v>197.83887548159197</c:v>
                </c:pt>
                <c:pt idx="333">
                  <c:v>197.78153414717355</c:v>
                </c:pt>
                <c:pt idx="334">
                  <c:v>197.71651160044237</c:v>
                </c:pt>
                <c:pt idx="335">
                  <c:v>197.64381877759428</c:v>
                </c:pt>
                <c:pt idx="336">
                  <c:v>197.56346666915204</c:v>
                </c:pt>
                <c:pt idx="337">
                  <c:v>197.47546631823525</c:v>
                </c:pt>
                <c:pt idx="338">
                  <c:v>197.37982881883931</c:v>
                </c:pt>
                <c:pt idx="339">
                  <c:v>197.27656531412475</c:v>
                </c:pt>
                <c:pt idx="340">
                  <c:v>197.16568699471568</c:v>
                </c:pt>
                <c:pt idx="341">
                  <c:v>197.0472050970086</c:v>
                </c:pt>
                <c:pt idx="342">
                  <c:v>196.92113090149095</c:v>
                </c:pt>
                <c:pt idx="343">
                  <c:v>196.78747573106963</c:v>
                </c:pt>
                <c:pt idx="344">
                  <c:v>196.64625094940985</c:v>
                </c:pt>
                <c:pt idx="345">
                  <c:v>196.49746795928405</c:v>
                </c:pt>
                <c:pt idx="346">
                  <c:v>196.34113820093108</c:v>
                </c:pt>
                <c:pt idx="347">
                  <c:v>196.17727315042586</c:v>
                </c:pt>
                <c:pt idx="348">
                  <c:v>196.00606371376136</c:v>
                </c:pt>
                <c:pt idx="349">
                  <c:v>195.82770054979127</c:v>
                </c:pt>
                <c:pt idx="350">
                  <c:v>195.64219465585154</c:v>
                </c:pt>
                <c:pt idx="351">
                  <c:v>195.44955705359737</c:v>
                </c:pt>
                <c:pt idx="352">
                  <c:v>195.24979878758194</c:v>
                </c:pt>
                <c:pt idx="353">
                  <c:v>195.04293092384455</c:v>
                </c:pt>
                <c:pt idx="354">
                  <c:v>194.82896454850919</c:v>
                </c:pt>
                <c:pt idx="355">
                  <c:v>194.60791076639262</c:v>
                </c:pt>
                <c:pt idx="356">
                  <c:v>194.37978069962222</c:v>
                </c:pt>
                <c:pt idx="357">
                  <c:v>194.14458548626422</c:v>
                </c:pt>
                <c:pt idx="358">
                  <c:v>193.90233627896146</c:v>
                </c:pt>
                <c:pt idx="359">
                  <c:v>193.65304424358118</c:v>
                </c:pt>
                <c:pt idx="360">
                  <c:v>193.40045143736845</c:v>
                </c:pt>
                <c:pt idx="361">
                  <c:v>193.14829360825803</c:v>
                </c:pt>
                <c:pt idx="362">
                  <c:v>192.89656933500811</c:v>
                </c:pt>
                <c:pt idx="363">
                  <c:v>192.64527720251314</c:v>
                </c:pt>
                <c:pt idx="364">
                  <c:v>192.39441580177015</c:v>
                </c:pt>
                <c:pt idx="365">
                  <c:v>192.1439837298457</c:v>
                </c:pt>
                <c:pt idx="366">
                  <c:v>191.89397958984279</c:v>
                </c:pt>
                <c:pt idx="367">
                  <c:v>191.64440199086803</c:v>
                </c:pt>
                <c:pt idx="368">
                  <c:v>191.39524954799924</c:v>
                </c:pt>
                <c:pt idx="369">
                  <c:v>191.14652088225282</c:v>
                </c:pt>
                <c:pt idx="370">
                  <c:v>190.89821462055181</c:v>
                </c:pt>
                <c:pt idx="371">
                  <c:v>190.65032939569389</c:v>
                </c:pt>
                <c:pt idx="372">
                  <c:v>190.40286384631952</c:v>
                </c:pt>
                <c:pt idx="373">
                  <c:v>190.15581661688066</c:v>
                </c:pt>
                <c:pt idx="374">
                  <c:v>189.90918635760917</c:v>
                </c:pt>
                <c:pt idx="375">
                  <c:v>189.66297172448591</c:v>
                </c:pt>
                <c:pt idx="376">
                  <c:v>189.41717137920969</c:v>
                </c:pt>
                <c:pt idx="377">
                  <c:v>189.17178398916656</c:v>
                </c:pt>
                <c:pt idx="378">
                  <c:v>188.92680822739936</c:v>
                </c:pt>
                <c:pt idx="379">
                  <c:v>188.68224277257744</c:v>
                </c:pt>
                <c:pt idx="380">
                  <c:v>188.43808630896629</c:v>
                </c:pt>
                <c:pt idx="381">
                  <c:v>188.1943375263979</c:v>
                </c:pt>
                <c:pt idx="382">
                  <c:v>187.95099512024086</c:v>
                </c:pt>
                <c:pt idx="383">
                  <c:v>187.70805779137078</c:v>
                </c:pt>
                <c:pt idx="384">
                  <c:v>187.46552424614117</c:v>
                </c:pt>
                <c:pt idx="385">
                  <c:v>187.22339319635387</c:v>
                </c:pt>
                <c:pt idx="386">
                  <c:v>186.98166335923051</c:v>
                </c:pt>
                <c:pt idx="387">
                  <c:v>186.74033345738334</c:v>
                </c:pt>
                <c:pt idx="388">
                  <c:v>186.49940221878694</c:v>
                </c:pt>
                <c:pt idx="389">
                  <c:v>186.25886837674952</c:v>
                </c:pt>
                <c:pt idx="390">
                  <c:v>186.0187306698848</c:v>
                </c:pt>
                <c:pt idx="391">
                  <c:v>185.77898784208401</c:v>
                </c:pt>
                <c:pt idx="392">
                  <c:v>185.5396386424878</c:v>
                </c:pt>
                <c:pt idx="393">
                  <c:v>185.30068182545878</c:v>
                </c:pt>
                <c:pt idx="394">
                  <c:v>185.06211615055381</c:v>
                </c:pt>
                <c:pt idx="395">
                  <c:v>184.82394038249666</c:v>
                </c:pt>
                <c:pt idx="396">
                  <c:v>184.58615329115094</c:v>
                </c:pt>
                <c:pt idx="397">
                  <c:v>184.34875365149298</c:v>
                </c:pt>
                <c:pt idx="398">
                  <c:v>184.11174024358496</c:v>
                </c:pt>
                <c:pt idx="399">
                  <c:v>183.8751118525484</c:v>
                </c:pt>
                <c:pt idx="400">
                  <c:v>183.63886726853744</c:v>
                </c:pt>
                <c:pt idx="401">
                  <c:v>181.2802818361624</c:v>
                </c:pt>
                <c:pt idx="402">
                  <c:v>178.95955823330669</c:v>
                </c:pt>
                <c:pt idx="403">
                  <c:v>176.67552593000462</c:v>
                </c:pt>
                <c:pt idx="404">
                  <c:v>174.42706166409474</c:v>
                </c:pt>
                <c:pt idx="405">
                  <c:v>172.21308704913369</c:v>
                </c:pt>
                <c:pt idx="406">
                  <c:v>170.03256632716386</c:v>
                </c:pt>
                <c:pt idx="407">
                  <c:v>167.88450425617901</c:v>
                </c:pt>
                <c:pt idx="408">
                  <c:v>165.76794412294251</c:v>
                </c:pt>
                <c:pt idx="409">
                  <c:v>163.68196587254974</c:v>
                </c:pt>
                <c:pt idx="410">
                  <c:v>161.62568434679918</c:v>
                </c:pt>
                <c:pt idx="411">
                  <c:v>159.5982476240516</c:v>
                </c:pt>
                <c:pt idx="412">
                  <c:v>157.59883545381643</c:v>
                </c:pt>
                <c:pt idx="413">
                  <c:v>155.62665777981863</c:v>
                </c:pt>
                <c:pt idx="414">
                  <c:v>153.68095334576924</c:v>
                </c:pt>
                <c:pt idx="415">
                  <c:v>151.7609883784927</c:v>
                </c:pt>
                <c:pt idx="416">
                  <c:v>149.86605534345904</c:v>
                </c:pt>
                <c:pt idx="417">
                  <c:v>147.99547176813161</c:v>
                </c:pt>
                <c:pt idx="418">
                  <c:v>146.14857912887337</c:v>
                </c:pt>
                <c:pt idx="419">
                  <c:v>144.3247417974618</c:v>
                </c:pt>
                <c:pt idx="420">
                  <c:v>142.52334604354274</c:v>
                </c:pt>
                <c:pt idx="421">
                  <c:v>140.74379908961416</c:v>
                </c:pt>
                <c:pt idx="422">
                  <c:v>138.98552821536941</c:v>
                </c:pt>
                <c:pt idx="423">
                  <c:v>137.24797990844999</c:v>
                </c:pt>
                <c:pt idx="424">
                  <c:v>135.53061905886167</c:v>
                </c:pt>
                <c:pt idx="425">
                  <c:v>133.83292819449636</c:v>
                </c:pt>
                <c:pt idx="426">
                  <c:v>132.15440675537548</c:v>
                </c:pt>
                <c:pt idx="427">
                  <c:v>130.49457040439219</c:v>
                </c:pt>
                <c:pt idx="428">
                  <c:v>128.8529503724792</c:v>
                </c:pt>
                <c:pt idx="429">
                  <c:v>127.22909283626629</c:v>
                </c:pt>
                <c:pt idx="430">
                  <c:v>125.62255832642187</c:v>
                </c:pt>
                <c:pt idx="431">
                  <c:v>124.03292116499</c:v>
                </c:pt>
                <c:pt idx="432">
                  <c:v>122.45976893014705</c:v>
                </c:pt>
                <c:pt idx="433">
                  <c:v>120.90270194690429</c:v>
                </c:pt>
                <c:pt idx="434">
                  <c:v>119.36133280237902</c:v>
                </c:pt>
                <c:pt idx="435">
                  <c:v>117.83528588434677</c:v>
                </c:pt>
                <c:pt idx="436">
                  <c:v>116.32419694187048</c:v>
                </c:pt>
                <c:pt idx="437">
                  <c:v>114.82771266688073</c:v>
                </c:pt>
                <c:pt idx="438">
                  <c:v>113.34549029565461</c:v>
                </c:pt>
                <c:pt idx="439">
                  <c:v>111.87719722920897</c:v>
                </c:pt>
                <c:pt idx="440">
                  <c:v>110.42251067168844</c:v>
                </c:pt>
                <c:pt idx="441">
                  <c:v>108.98111728588911</c:v>
                </c:pt>
                <c:pt idx="442">
                  <c:v>107.55271286511537</c:v>
                </c:pt>
                <c:pt idx="443">
                  <c:v>106.13700202062169</c:v>
                </c:pt>
                <c:pt idx="444">
                  <c:v>104.73369788394174</c:v>
                </c:pt>
                <c:pt idx="445">
                  <c:v>103.34252182345492</c:v>
                </c:pt>
                <c:pt idx="446">
                  <c:v>101.96320317458724</c:v>
                </c:pt>
                <c:pt idx="447">
                  <c:v>100.595478983086</c:v>
                </c:pt>
                <c:pt idx="448">
                  <c:v>99.239093760850196</c:v>
                </c:pt>
                <c:pt idx="449">
                  <c:v>97.893799253838282</c:v>
                </c:pt>
                <c:pt idx="450">
                  <c:v>96.559354221613532</c:v>
                </c:pt>
                <c:pt idx="451">
                  <c:v>95.235524228124618</c:v>
                </c:pt>
                <c:pt idx="452">
                  <c:v>93.922081443355438</c:v>
                </c:pt>
                <c:pt idx="453">
                  <c:v>92.618804455513299</c:v>
                </c:pt>
                <c:pt idx="454">
                  <c:v>91.325478093459679</c:v>
                </c:pt>
                <c:pt idx="455">
                  <c:v>90.041893259122475</c:v>
                </c:pt>
                <c:pt idx="456">
                  <c:v>88.767846769662114</c:v>
                </c:pt>
                <c:pt idx="457">
                  <c:v>87.503141209199043</c:v>
                </c:pt>
                <c:pt idx="458">
                  <c:v>86.247584789944256</c:v>
                </c:pt>
                <c:pt idx="459">
                  <c:v>85.000991222609571</c:v>
                </c:pt>
                <c:pt idx="460">
                  <c:v>83.763179596010588</c:v>
                </c:pt>
                <c:pt idx="461">
                  <c:v>82.533974265812006</c:v>
                </c:pt>
                <c:pt idx="462">
                  <c:v>81.313204752403323</c:v>
                </c:pt>
                <c:pt idx="463">
                  <c:v>80.10070564793358</c:v>
                </c:pt>
                <c:pt idx="464">
                  <c:v>78.896316532575085</c:v>
                </c:pt>
                <c:pt idx="465">
                  <c:v>77.699881900132041</c:v>
                </c:pt>
                <c:pt idx="466">
                  <c:v>76.511251093156616</c:v>
                </c:pt>
                <c:pt idx="467">
                  <c:v>75.330278247786836</c:v>
                </c:pt>
                <c:pt idx="468">
                  <c:v>74.156822248575992</c:v>
                </c:pt>
                <c:pt idx="469">
                  <c:v>72.990746693642691</c:v>
                </c:pt>
                <c:pt idx="470">
                  <c:v>71.831919870536638</c:v>
                </c:pt>
                <c:pt idx="471">
                  <c:v>70.680214743286712</c:v>
                </c:pt>
                <c:pt idx="472">
                  <c:v>69.53550895117607</c:v>
                </c:pt>
                <c:pt idx="473">
                  <c:v>68.397684819877242</c:v>
                </c:pt>
                <c:pt idx="474">
                  <c:v>67.266629385675401</c:v>
                </c:pt>
                <c:pt idx="475">
                  <c:v>66.142234433615712</c:v>
                </c:pt>
                <c:pt idx="476">
                  <c:v>65.024396550530795</c:v>
                </c:pt>
                <c:pt idx="477">
                  <c:v>63.913017194037081</c:v>
                </c:pt>
                <c:pt idx="478">
                  <c:v>62.808002778739969</c:v>
                </c:pt>
                <c:pt idx="479">
                  <c:v>61.709264781056028</c:v>
                </c:pt>
                <c:pt idx="480">
                  <c:v>60.616719864250733</c:v>
                </c:pt>
                <c:pt idx="481">
                  <c:v>59.530290025505316</c:v>
                </c:pt>
                <c:pt idx="482">
                  <c:v>58.449902767069581</c:v>
                </c:pt>
                <c:pt idx="483">
                  <c:v>57.375491293833228</c:v>
                </c:pt>
                <c:pt idx="484">
                  <c:v>56.306994739961944</c:v>
                </c:pt>
                <c:pt idx="485">
                  <c:v>55.244358427601362</c:v>
                </c:pt>
                <c:pt idx="486">
                  <c:v>54.187534161058458</c:v>
                </c:pt>
                <c:pt idx="487">
                  <c:v>53.136480560335166</c:v>
                </c:pt>
                <c:pt idx="488">
                  <c:v>52.091163438419741</c:v>
                </c:pt>
                <c:pt idx="489">
                  <c:v>51.051556227350709</c:v>
                </c:pt>
                <c:pt idx="490">
                  <c:v>50.017640458765712</c:v>
                </c:pt>
                <c:pt idx="491">
                  <c:v>48.989406305449997</c:v>
                </c:pt>
                <c:pt idx="492">
                  <c:v>47.966853191320581</c:v>
                </c:pt>
                <c:pt idx="493">
                  <c:v>46.949990478343672</c:v>
                </c:pt>
                <c:pt idx="494">
                  <c:v>45.938838240105234</c:v>
                </c:pt>
                <c:pt idx="495">
                  <c:v>44.933428133164306</c:v>
                </c:pt>
                <c:pt idx="496">
                  <c:v>43.933804378944899</c:v>
                </c:pt>
                <c:pt idx="497">
                  <c:v>42.940024870799235</c:v>
                </c:pt>
                <c:pt idx="498">
                  <c:v>41.952162423041891</c:v>
                </c:pt>
                <c:pt idx="499">
                  <c:v>40.97030618125433</c:v>
                </c:pt>
                <c:pt idx="500">
                  <c:v>39.994563216043268</c:v>
                </c:pt>
                <c:pt idx="501">
                  <c:v>39.025060325758375</c:v>
                </c:pt>
                <c:pt idx="502">
                  <c:v>38.061946077495485</c:v>
                </c:pt>
                <c:pt idx="503">
                  <c:v>37.105393120094732</c:v>
                </c:pt>
                <c:pt idx="504">
                  <c:v>36.155600807853638</c:v>
                </c:pt>
                <c:pt idx="505">
                  <c:v>35.212798179376122</c:v>
                </c:pt>
                <c:pt idx="506">
                  <c:v>34.277247342421788</c:v>
                </c:pt>
                <c:pt idx="507">
                  <c:v>33.34924732283902</c:v>
                </c:pt>
                <c:pt idx="508">
                  <c:v>32.429138443655496</c:v>
                </c:pt>
                <c:pt idx="509">
                  <c:v>31.517307309094829</c:v>
                </c:pt>
                <c:pt idx="510">
                  <c:v>30.614192477524846</c:v>
                </c:pt>
                <c:pt idx="511">
                  <c:v>29.720290916803577</c:v>
                </c:pt>
                <c:pt idx="512">
                  <c:v>28.836165344629901</c:v>
                </c:pt>
                <c:pt idx="513">
                  <c:v>27.962452564441168</c:v>
                </c:pt>
                <c:pt idx="514">
                  <c:v>27.09987291275484</c:v>
                </c:pt>
                <c:pt idx="515">
                  <c:v>26.249240934546936</c:v>
                </c:pt>
                <c:pt idx="516">
                  <c:v>25.411477396236439</c:v>
                </c:pt>
                <c:pt idx="517">
                  <c:v>24.587622726693457</c:v>
                </c:pt>
                <c:pt idx="518">
                  <c:v>23.778851939201676</c:v>
                </c:pt>
                <c:pt idx="519">
                  <c:v>22.986491022951466</c:v>
                </c:pt>
                <c:pt idx="520">
                  <c:v>22.212034690032144</c:v>
                </c:pt>
                <c:pt idx="521">
                  <c:v>21.457165208385227</c:v>
                </c:pt>
                <c:pt idx="522">
                  <c:v>20.723771824885993</c:v>
                </c:pt>
                <c:pt idx="523">
                  <c:v>20.013969965424465</c:v>
                </c:pt>
                <c:pt idx="524">
                  <c:v>19.330118970666547</c:v>
                </c:pt>
                <c:pt idx="525">
                  <c:v>18.674836573051962</c:v>
                </c:pt>
                <c:pt idx="526">
                  <c:v>18.051007644236719</c:v>
                </c:pt>
                <c:pt idx="527">
                  <c:v>17.461783975684067</c:v>
                </c:pt>
                <c:pt idx="528">
                  <c:v>16.910571084441017</c:v>
                </c:pt>
                <c:pt idx="529">
                  <c:v>16.400997424853212</c:v>
                </c:pt>
                <c:pt idx="530">
                  <c:v>15.936861194995005</c:v>
                </c:pt>
                <c:pt idx="531">
                  <c:v>15.522050505575885</c:v>
                </c:pt>
                <c:pt idx="532">
                  <c:v>15.160434418248869</c:v>
                </c:pt>
                <c:pt idx="533">
                  <c:v>14.855725557357699</c:v>
                </c:pt>
                <c:pt idx="534">
                  <c:v>14.611319654566206</c:v>
                </c:pt>
                <c:pt idx="535">
                  <c:v>14.430122973287103</c:v>
                </c:pt>
                <c:pt idx="536">
                  <c:v>14.314383903430119</c:v>
                </c:pt>
                <c:pt idx="537">
                  <c:v>14.265548444005162</c:v>
                </c:pt>
                <c:pt idx="538">
                  <c:v>14.284159156462492</c:v>
                </c:pt>
                <c:pt idx="539">
                  <c:v>14.369812626763103</c:v>
                </c:pt>
                <c:pt idx="540">
                  <c:v>14.521182093028155</c:v>
                </c:pt>
                <c:pt idx="541">
                  <c:v>14.736101707875321</c:v>
                </c:pt>
                <c:pt idx="542">
                  <c:v>15.011699677483975</c:v>
                </c:pt>
                <c:pt idx="543">
                  <c:v>15.344561625767469</c:v>
                </c:pt>
                <c:pt idx="544">
                  <c:v>15.730904041085644</c:v>
                </c:pt>
                <c:pt idx="545">
                  <c:v>16.166740128938848</c:v>
                </c:pt>
                <c:pt idx="546">
                  <c:v>16.648025336195214</c:v>
                </c:pt>
                <c:pt idx="547">
                  <c:v>17.170775490408623</c:v>
                </c:pt>
                <c:pt idx="548">
                  <c:v>17.731155542501774</c:v>
                </c:pt>
                <c:pt idx="549">
                  <c:v>18.325540583297744</c:v>
                </c:pt>
                <c:pt idx="550">
                  <c:v>18.950552981219143</c:v>
                </c:pt>
                <c:pt idx="551">
                  <c:v>19.603080389946868</c:v>
                </c:pt>
                <c:pt idx="552">
                  <c:v>20.280279380565567</c:v>
                </c:pt>
                <c:pt idx="553">
                  <c:v>20.979568936400412</c:v>
                </c:pt>
                <c:pt idx="554">
                  <c:v>21.698617302315249</c:v>
                </c:pt>
                <c:pt idx="555">
                  <c:v>22.43532489668852</c:v>
                </c:pt>
                <c:pt idx="556">
                  <c:v>23.1878052815362</c:v>
                </c:pt>
                <c:pt idx="557">
                  <c:v>23.954365591420004</c:v>
                </c:pt>
                <c:pt idx="558">
                  <c:v>24.733487354322079</c:v>
                </c:pt>
                <c:pt idx="559">
                  <c:v>25.523808287016994</c:v>
                </c:pt>
                <c:pt idx="560">
                  <c:v>26.324105394648882</c:v>
                </c:pt>
                <c:pt idx="561">
                  <c:v>27.13327952859321</c:v>
                </c:pt>
                <c:pt idx="562">
                  <c:v>27.950341439371677</c:v>
                </c:pt>
                <c:pt idx="563">
                  <c:v>28.7743992866335</c:v>
                </c:pt>
                <c:pt idx="564">
                  <c:v>29.604647523593744</c:v>
                </c:pt>
                <c:pt idx="565">
                  <c:v>30.440357049429711</c:v>
                </c:pt>
                <c:pt idx="566">
                  <c:v>31.280866513086199</c:v>
                </c:pt>
                <c:pt idx="567">
                  <c:v>32.125574650802029</c:v>
                </c:pt>
                <c:pt idx="568">
                  <c:v>32.973933544001355</c:v>
                </c:pt>
                <c:pt idx="569">
                  <c:v>33.82544269164238</c:v>
                </c:pt>
                <c:pt idx="570">
                  <c:v>34.679643800115201</c:v>
                </c:pt>
                <c:pt idx="571">
                  <c:v>35.536116203312531</c:v>
                </c:pt>
                <c:pt idx="572">
                  <c:v>36.394472834927349</c:v>
                </c:pt>
                <c:pt idx="573">
                  <c:v>37.254356683984689</c:v>
                </c:pt>
                <c:pt idx="574">
                  <c:v>38.115437672887943</c:v>
                </c:pt>
                <c:pt idx="575">
                  <c:v>38.97740990476423</c:v>
                </c:pt>
                <c:pt idx="576">
                  <c:v>39.839989233609224</c:v>
                </c:pt>
                <c:pt idx="577">
                  <c:v>40.702911116685272</c:v>
                </c:pt>
                <c:pt idx="578">
                  <c:v>41.565928713865574</c:v>
                </c:pt>
                <c:pt idx="579">
                  <c:v>42.428811203204631</c:v>
                </c:pt>
                <c:pt idx="580">
                  <c:v>43.291342286015286</c:v>
                </c:pt>
                <c:pt idx="581">
                  <c:v>44.153318858212117</c:v>
                </c:pt>
                <c:pt idx="582">
                  <c:v>45.014549827701259</c:v>
                </c:pt>
                <c:pt idx="583">
                  <c:v>45.874855060214529</c:v>
                </c:pt>
                <c:pt idx="584">
                  <c:v>46.734064438254215</c:v>
                </c:pt>
                <c:pt idx="585">
                  <c:v>47.592017019778602</c:v>
                </c:pt>
                <c:pt idx="586">
                  <c:v>48.448560284959285</c:v>
                </c:pt>
                <c:pt idx="587">
                  <c:v>49.303549460814338</c:v>
                </c:pt>
                <c:pt idx="588">
                  <c:v>50.156846914798038</c:v>
                </c:pt>
                <c:pt idx="589">
                  <c:v>51.008321609535173</c:v>
                </c:pt>
                <c:pt idx="590">
                  <c:v>51.857848611848425</c:v>
                </c:pt>
                <c:pt idx="591">
                  <c:v>52.705308650062314</c:v>
                </c:pt>
                <c:pt idx="592">
                  <c:v>53.550587714292753</c:v>
                </c:pt>
                <c:pt idx="593">
                  <c:v>54.393576695063395</c:v>
                </c:pt>
                <c:pt idx="594">
                  <c:v>55.234171056140433</c:v>
                </c:pt>
                <c:pt idx="595">
                  <c:v>56.07227053795836</c:v>
                </c:pt>
                <c:pt idx="596">
                  <c:v>56.907778888428865</c:v>
                </c:pt>
                <c:pt idx="597">
                  <c:v>57.740603618292674</c:v>
                </c:pt>
                <c:pt idx="598">
                  <c:v>58.570655778495805</c:v>
                </c:pt>
                <c:pt idx="599">
                  <c:v>59.397849757354059</c:v>
                </c:pt>
                <c:pt idx="600">
                  <c:v>60.22210309551766</c:v>
                </c:pt>
                <c:pt idx="601">
                  <c:v>61.043336316965899</c:v>
                </c:pt>
                <c:pt idx="602">
                  <c:v>61.861472774453794</c:v>
                </c:pt>
                <c:pt idx="603">
                  <c:v>62.676438508002356</c:v>
                </c:pt>
                <c:pt idx="604">
                  <c:v>63.48816211517326</c:v>
                </c:pt>
                <c:pt idx="605">
                  <c:v>64.296574632001509</c:v>
                </c:pt>
                <c:pt idx="606">
                  <c:v>65.101609423576491</c:v>
                </c:pt>
                <c:pt idx="607">
                  <c:v>65.903202083365713</c:v>
                </c:pt>
                <c:pt idx="608">
                  <c:v>66.701290340467864</c:v>
                </c:pt>
                <c:pt idx="609">
                  <c:v>67.49581397406368</c:v>
                </c:pt>
                <c:pt idx="610">
                  <c:v>68.286714734406075</c:v>
                </c:pt>
                <c:pt idx="611">
                  <c:v>69.073936269756004</c:v>
                </c:pt>
                <c:pt idx="612">
                  <c:v>69.85742405872854</c:v>
                </c:pt>
                <c:pt idx="613">
                  <c:v>70.637125347565544</c:v>
                </c:pt>
                <c:pt idx="614">
                  <c:v>71.412989091897373</c:v>
                </c:pt>
                <c:pt idx="615">
                  <c:v>72.184965902598137</c:v>
                </c:pt>
                <c:pt idx="616">
                  <c:v>72.953007995375529</c:v>
                </c:pt>
                <c:pt idx="617">
                  <c:v>73.717069143770217</c:v>
                </c:pt>
                <c:pt idx="618">
                  <c:v>74.477104635269612</c:v>
                </c:pt>
                <c:pt idx="619">
                  <c:v>75.233071230267839</c:v>
                </c:pt>
                <c:pt idx="620">
                  <c:v>75.984927123627998</c:v>
                </c:pt>
                <c:pt idx="621">
                  <c:v>76.732631908624754</c:v>
                </c:pt>
                <c:pt idx="622">
                  <c:v>77.476146543065454</c:v>
                </c:pt>
                <c:pt idx="623">
                  <c:v>78.215433317405228</c:v>
                </c:pt>
                <c:pt idx="624">
                  <c:v>78.950455824688021</c:v>
                </c:pt>
                <c:pt idx="625">
                  <c:v>79.68117893216062</c:v>
                </c:pt>
                <c:pt idx="626">
                  <c:v>80.407568754418989</c:v>
                </c:pt>
                <c:pt idx="627">
                  <c:v>81.129592627959354</c:v>
                </c:pt>
                <c:pt idx="628">
                  <c:v>81.847219087016612</c:v>
                </c:pt>
                <c:pt idx="629">
                  <c:v>82.560417840583085</c:v>
                </c:pt>
                <c:pt idx="630">
                  <c:v>83.269159750509417</c:v>
                </c:pt>
                <c:pt idx="631">
                  <c:v>83.973416810597897</c:v>
                </c:pt>
                <c:pt idx="632">
                  <c:v>84.673162126605661</c:v>
                </c:pt>
                <c:pt idx="633">
                  <c:v>85.368369897082474</c:v>
                </c:pt>
                <c:pt idx="634">
                  <c:v>86.05901539497367</c:v>
                </c:pt>
                <c:pt idx="635">
                  <c:v>86.745074949925026</c:v>
                </c:pt>
                <c:pt idx="636">
                  <c:v>87.426525931230898</c:v>
                </c:pt>
                <c:pt idx="637">
                  <c:v>88.103346731372525</c:v>
                </c:pt>
                <c:pt idx="638">
                  <c:v>88.775516750097111</c:v>
                </c:pt>
                <c:pt idx="639">
                  <c:v>89.443016378992823</c:v>
                </c:pt>
                <c:pt idx="640">
                  <c:v>90.10582698651811</c:v>
                </c:pt>
                <c:pt idx="641">
                  <c:v>90.763930903447516</c:v>
                </c:pt>
                <c:pt idx="642">
                  <c:v>91.417311408699021</c:v>
                </c:pt>
                <c:pt idx="643">
                  <c:v>92.065952715510903</c:v>
                </c:pt>
                <c:pt idx="644">
                  <c:v>92.709839957938783</c:v>
                </c:pt>
                <c:pt idx="645">
                  <c:v>93.348959177645654</c:v>
                </c:pt>
                <c:pt idx="646">
                  <c:v>93.98329731096058</c:v>
                </c:pt>
                <c:pt idx="647">
                  <c:v>94.612842176182923</c:v>
                </c:pt>
                <c:pt idx="648">
                  <c:v>95.237582461111742</c:v>
                </c:pt>
                <c:pt idx="649">
                  <c:v>95.857507710780894</c:v>
                </c:pt>
                <c:pt idx="650">
                  <c:v>96.472608315382885</c:v>
                </c:pt>
                <c:pt idx="651">
                  <c:v>97.082875498365169</c:v>
                </c:pt>
                <c:pt idx="652">
                  <c:v>97.688301304684586</c:v>
                </c:pt>
                <c:pt idx="653">
                  <c:v>98.288878589206405</c:v>
                </c:pt>
                <c:pt idx="654">
                  <c:v>98.884601005236277</c:v>
                </c:pt>
                <c:pt idx="655">
                  <c:v>99.475462993173707</c:v>
                </c:pt>
                <c:pt idx="656">
                  <c:v>100.06145976927721</c:v>
                </c:pt>
                <c:pt idx="657">
                  <c:v>100.64258731453208</c:v>
                </c:pt>
                <c:pt idx="658">
                  <c:v>101.21884236361254</c:v>
                </c:pt>
                <c:pt idx="659">
                  <c:v>101.79022239393079</c:v>
                </c:pt>
                <c:pt idx="660">
                  <c:v>102.35672561476653</c:v>
                </c:pt>
                <c:pt idx="661">
                  <c:v>102.91835095647056</c:v>
                </c:pt>
                <c:pt idx="662">
                  <c:v>103.47509805973745</c:v>
                </c:pt>
                <c:pt idx="663">
                  <c:v>104.02696726494234</c:v>
                </c:pt>
                <c:pt idx="664">
                  <c:v>104.57395960153772</c:v>
                </c:pt>
                <c:pt idx="665">
                  <c:v>105.11607677750628</c:v>
                </c:pt>
                <c:pt idx="666">
                  <c:v>105.65332116886681</c:v>
                </c:pt>
                <c:pt idx="667">
                  <c:v>106.1856958092301</c:v>
                </c:pt>
                <c:pt idx="668">
                  <c:v>106.71320437940251</c:v>
                </c:pt>
                <c:pt idx="669">
                  <c:v>107.23585119703499</c:v>
                </c:pt>
                <c:pt idx="670">
                  <c:v>107.75364120631606</c:v>
                </c:pt>
                <c:pt idx="671">
                  <c:v>108.26657996770703</c:v>
                </c:pt>
                <c:pt idx="672">
                  <c:v>108.77467364771834</c:v>
                </c:pt>
                <c:pt idx="673">
                  <c:v>109.27792900872652</c:v>
                </c:pt>
                <c:pt idx="674">
                  <c:v>109.77635339883038</c:v>
                </c:pt>
                <c:pt idx="675">
                  <c:v>110.26995474174689</c:v>
                </c:pt>
                <c:pt idx="676">
                  <c:v>110.75874152674582</c:v>
                </c:pt>
                <c:pt idx="677">
                  <c:v>111.24272279862345</c:v>
                </c:pt>
                <c:pt idx="678">
                  <c:v>111.72190814771542</c:v>
                </c:pt>
                <c:pt idx="679">
                  <c:v>112.196307699949</c:v>
                </c:pt>
                <c:pt idx="680">
                  <c:v>112.66593210693522</c:v>
                </c:pt>
                <c:pt idx="681">
                  <c:v>113.13079253610138</c:v>
                </c:pt>
                <c:pt idx="682">
                  <c:v>113.59090066086485</c:v>
                </c:pt>
                <c:pt idx="683">
                  <c:v>114.04626865084845</c:v>
                </c:pt>
                <c:pt idx="684">
                  <c:v>114.49690916213885</c:v>
                </c:pt>
                <c:pt idx="685">
                  <c:v>114.94283532758863</c:v>
                </c:pt>
                <c:pt idx="686">
                  <c:v>115.38406074716301</c:v>
                </c:pt>
                <c:pt idx="687">
                  <c:v>115.82059947833257</c:v>
                </c:pt>
                <c:pt idx="688">
                  <c:v>116.25246602651286</c:v>
                </c:pt>
                <c:pt idx="689">
                  <c:v>116.6796753355524</c:v>
                </c:pt>
                <c:pt idx="690">
                  <c:v>117.10224277826994</c:v>
                </c:pt>
                <c:pt idx="691">
                  <c:v>117.52018414704268</c:v>
                </c:pt>
                <c:pt idx="692">
                  <c:v>117.93351564444649</c:v>
                </c:pt>
                <c:pt idx="693">
                  <c:v>118.34225387394946</c:v>
                </c:pt>
                <c:pt idx="694">
                  <c:v>118.74641583066042</c:v>
                </c:pt>
                <c:pt idx="695">
                  <c:v>119.14601889213338</c:v>
                </c:pt>
                <c:pt idx="696">
                  <c:v>119.54108080922961</c:v>
                </c:pt>
                <c:pt idx="697">
                  <c:v>119.93161969703861</c:v>
                </c:pt>
                <c:pt idx="698">
                  <c:v>120.31765402585937</c:v>
                </c:pt>
                <c:pt idx="699">
                  <c:v>120.69920261224321</c:v>
                </c:pt>
                <c:pt idx="700">
                  <c:v>121.07628461009969</c:v>
                </c:pt>
                <c:pt idx="701">
                  <c:v>121.44891950186698</c:v>
                </c:pt>
                <c:pt idx="702">
                  <c:v>121.81712708974777</c:v>
                </c:pt>
                <c:pt idx="703">
                  <c:v>122.18092748701243</c:v>
                </c:pt>
                <c:pt idx="704">
                  <c:v>122.54034110937035</c:v>
                </c:pt>
                <c:pt idx="705">
                  <c:v>122.89538866641104</c:v>
                </c:pt>
                <c:pt idx="706">
                  <c:v>123.24609115311611</c:v>
                </c:pt>
                <c:pt idx="707">
                  <c:v>123.59246984144337</c:v>
                </c:pt>
                <c:pt idx="708">
                  <c:v>123.93454627198416</c:v>
                </c:pt>
                <c:pt idx="709">
                  <c:v>124.27234224569538</c:v>
                </c:pt>
                <c:pt idx="710">
                  <c:v>124.60587981570706</c:v>
                </c:pt>
                <c:pt idx="711">
                  <c:v>124.93518127920669</c:v>
                </c:pt>
                <c:pt idx="712">
                  <c:v>125.2602691694014</c:v>
                </c:pt>
                <c:pt idx="713">
                  <c:v>125.5811662475591</c:v>
                </c:pt>
                <c:pt idx="714">
                  <c:v>125.89789549512933</c:v>
                </c:pt>
                <c:pt idx="715">
                  <c:v>126.21048010594511</c:v>
                </c:pt>
                <c:pt idx="716">
                  <c:v>126.5189434785065</c:v>
                </c:pt>
                <c:pt idx="717">
                  <c:v>126.82330920834679</c:v>
                </c:pt>
                <c:pt idx="718">
                  <c:v>127.1236010804823</c:v>
                </c:pt>
                <c:pt idx="719">
                  <c:v>127.41984306194644</c:v>
                </c:pt>
                <c:pt idx="720">
                  <c:v>127.71205929440873</c:v>
                </c:pt>
                <c:pt idx="721">
                  <c:v>128.00027408688004</c:v>
                </c:pt>
                <c:pt idx="722">
                  <c:v>128.2845119085037</c:v>
                </c:pt>
                <c:pt idx="723">
                  <c:v>128.56479738143443</c:v>
                </c:pt>
                <c:pt idx="724">
                  <c:v>128.84115527380465</c:v>
                </c:pt>
                <c:pt idx="725">
                  <c:v>129.11361049277895</c:v>
                </c:pt>
                <c:pt idx="726">
                  <c:v>129.38218807769792</c:v>
                </c:pt>
                <c:pt idx="727">
                  <c:v>129.64691319331084</c:v>
                </c:pt>
                <c:pt idx="728">
                  <c:v>129.90781112309833</c:v>
                </c:pt>
                <c:pt idx="729">
                  <c:v>130.16490726268518</c:v>
                </c:pt>
                <c:pt idx="730">
                  <c:v>130.41822711334356</c:v>
                </c:pt>
                <c:pt idx="731">
                  <c:v>130.66779627558716</c:v>
                </c:pt>
                <c:pt idx="732">
                  <c:v>130.91364044285658</c:v>
                </c:pt>
                <c:pt idx="733">
                  <c:v>131.15578539529568</c:v>
                </c:pt>
                <c:pt idx="734">
                  <c:v>131.39425699362008</c:v>
                </c:pt>
                <c:pt idx="735">
                  <c:v>131.62908117307674</c:v>
                </c:pt>
                <c:pt idx="736">
                  <c:v>131.86028393749581</c:v>
                </c:pt>
                <c:pt idx="737">
                  <c:v>132.08789135343434</c:v>
                </c:pt>
                <c:pt idx="738">
                  <c:v>132.08811538009166</c:v>
                </c:pt>
                <c:pt idx="739">
                  <c:v>132.08833940321344</c:v>
                </c:pt>
                <c:pt idx="740">
                  <c:v>132.08856342279972</c:v>
                </c:pt>
                <c:pt idx="741">
                  <c:v>132.08878743885055</c:v>
                </c:pt>
                <c:pt idx="742">
                  <c:v>132.08901145136588</c:v>
                </c:pt>
                <c:pt idx="743">
                  <c:v>132.08923546034578</c:v>
                </c:pt>
                <c:pt idx="744">
                  <c:v>132.08945946579027</c:v>
                </c:pt>
                <c:pt idx="745">
                  <c:v>132.08968346769939</c:v>
                </c:pt>
                <c:pt idx="746">
                  <c:v>132.08990746607319</c:v>
                </c:pt>
                <c:pt idx="747">
                  <c:v>132.09013146091158</c:v>
                </c:pt>
                <c:pt idx="748">
                  <c:v>132.09035545221471</c:v>
                </c:pt>
                <c:pt idx="749">
                  <c:v>132.09057943998258</c:v>
                </c:pt>
                <c:pt idx="750">
                  <c:v>132.09080342421518</c:v>
                </c:pt>
                <c:pt idx="751">
                  <c:v>132.09102740491258</c:v>
                </c:pt>
                <c:pt idx="752">
                  <c:v>132.09125138207477</c:v>
                </c:pt>
                <c:pt idx="753">
                  <c:v>132.09147535570176</c:v>
                </c:pt>
                <c:pt idx="754">
                  <c:v>132.09169932579363</c:v>
                </c:pt>
                <c:pt idx="755">
                  <c:v>132.09192329235037</c:v>
                </c:pt>
                <c:pt idx="756">
                  <c:v>132.09214725537205</c:v>
                </c:pt>
                <c:pt idx="757">
                  <c:v>132.09237121485862</c:v>
                </c:pt>
                <c:pt idx="758">
                  <c:v>132.09259517081017</c:v>
                </c:pt>
                <c:pt idx="759">
                  <c:v>132.09281912322666</c:v>
                </c:pt>
                <c:pt idx="760">
                  <c:v>132.09304307210817</c:v>
                </c:pt>
                <c:pt idx="761">
                  <c:v>132.09326701745476</c:v>
                </c:pt>
                <c:pt idx="762">
                  <c:v>132.0934909592664</c:v>
                </c:pt>
                <c:pt idx="763">
                  <c:v>132.09371489754309</c:v>
                </c:pt>
                <c:pt idx="764">
                  <c:v>132.09393883228492</c:v>
                </c:pt>
                <c:pt idx="765">
                  <c:v>132.09416276349185</c:v>
                </c:pt>
                <c:pt idx="766">
                  <c:v>132.094386691164</c:v>
                </c:pt>
                <c:pt idx="767">
                  <c:v>132.09461061530132</c:v>
                </c:pt>
                <c:pt idx="768">
                  <c:v>132.09483453590383</c:v>
                </c:pt>
                <c:pt idx="769">
                  <c:v>132.09505845297159</c:v>
                </c:pt>
                <c:pt idx="770">
                  <c:v>132.09528236650465</c:v>
                </c:pt>
                <c:pt idx="771">
                  <c:v>132.09550627650296</c:v>
                </c:pt>
                <c:pt idx="772">
                  <c:v>132.09573018296661</c:v>
                </c:pt>
                <c:pt idx="773">
                  <c:v>132.09595408589558</c:v>
                </c:pt>
                <c:pt idx="774">
                  <c:v>132.09617798528998</c:v>
                </c:pt>
                <c:pt idx="775">
                  <c:v>132.09640188114972</c:v>
                </c:pt>
                <c:pt idx="776">
                  <c:v>132.09662577347493</c:v>
                </c:pt>
                <c:pt idx="777">
                  <c:v>132.09684966226556</c:v>
                </c:pt>
                <c:pt idx="778">
                  <c:v>132.09707354752166</c:v>
                </c:pt>
                <c:pt idx="779">
                  <c:v>132.09729742924327</c:v>
                </c:pt>
                <c:pt idx="780">
                  <c:v>132.09752130743038</c:v>
                </c:pt>
                <c:pt idx="781">
                  <c:v>132.09774518208309</c:v>
                </c:pt>
                <c:pt idx="782">
                  <c:v>132.09796905320138</c:v>
                </c:pt>
                <c:pt idx="783">
                  <c:v>132.09819292078524</c:v>
                </c:pt>
                <c:pt idx="784">
                  <c:v>132.09841678483474</c:v>
                </c:pt>
                <c:pt idx="785">
                  <c:v>132.09864064534989</c:v>
                </c:pt>
                <c:pt idx="786">
                  <c:v>132.09886450233074</c:v>
                </c:pt>
                <c:pt idx="787">
                  <c:v>132.09908835577733</c:v>
                </c:pt>
                <c:pt idx="788">
                  <c:v>132.09931220568961</c:v>
                </c:pt>
                <c:pt idx="789">
                  <c:v>132.09953605206766</c:v>
                </c:pt>
                <c:pt idx="790">
                  <c:v>132.09975989491147</c:v>
                </c:pt>
                <c:pt idx="791">
                  <c:v>132.09998373422115</c:v>
                </c:pt>
                <c:pt idx="792">
                  <c:v>132.10020756999663</c:v>
                </c:pt>
                <c:pt idx="793">
                  <c:v>132.100431402238</c:v>
                </c:pt>
                <c:pt idx="794">
                  <c:v>132.10065523094522</c:v>
                </c:pt>
                <c:pt idx="795">
                  <c:v>132.10087905611837</c:v>
                </c:pt>
                <c:pt idx="796">
                  <c:v>132.10110287775748</c:v>
                </c:pt>
                <c:pt idx="797">
                  <c:v>132.10132669586255</c:v>
                </c:pt>
                <c:pt idx="798">
                  <c:v>132.10155051043361</c:v>
                </c:pt>
                <c:pt idx="799">
                  <c:v>132.10177432147069</c:v>
                </c:pt>
                <c:pt idx="800">
                  <c:v>132.10199812897378</c:v>
                </c:pt>
                <c:pt idx="801">
                  <c:v>132.102221932943</c:v>
                </c:pt>
                <c:pt idx="802">
                  <c:v>132.10244573337826</c:v>
                </c:pt>
                <c:pt idx="803">
                  <c:v>132.10266953027971</c:v>
                </c:pt>
                <c:pt idx="804">
                  <c:v>132.10289332364729</c:v>
                </c:pt>
                <c:pt idx="805">
                  <c:v>132.10311711348103</c:v>
                </c:pt>
                <c:pt idx="806">
                  <c:v>132.10334089978096</c:v>
                </c:pt>
                <c:pt idx="807">
                  <c:v>132.10356468254716</c:v>
                </c:pt>
                <c:pt idx="808">
                  <c:v>132.10378846177957</c:v>
                </c:pt>
                <c:pt idx="809">
                  <c:v>132.10401223747829</c:v>
                </c:pt>
                <c:pt idx="810">
                  <c:v>132.1042360096433</c:v>
                </c:pt>
                <c:pt idx="811">
                  <c:v>132.10445977827462</c:v>
                </c:pt>
                <c:pt idx="812">
                  <c:v>132.10468354337232</c:v>
                </c:pt>
                <c:pt idx="813">
                  <c:v>132.10490730493638</c:v>
                </c:pt>
                <c:pt idx="814">
                  <c:v>132.1051310629669</c:v>
                </c:pt>
                <c:pt idx="815">
                  <c:v>132.10535481746379</c:v>
                </c:pt>
                <c:pt idx="816">
                  <c:v>132.10557856842721</c:v>
                </c:pt>
                <c:pt idx="817">
                  <c:v>132.10580231585706</c:v>
                </c:pt>
                <c:pt idx="818">
                  <c:v>132.10602605975345</c:v>
                </c:pt>
                <c:pt idx="819">
                  <c:v>132.10624980011636</c:v>
                </c:pt>
                <c:pt idx="820">
                  <c:v>132.10647353694583</c:v>
                </c:pt>
                <c:pt idx="821">
                  <c:v>132.10669727024188</c:v>
                </c:pt>
                <c:pt idx="822">
                  <c:v>132.10692100000458</c:v>
                </c:pt>
                <c:pt idx="823">
                  <c:v>132.10714472623391</c:v>
                </c:pt>
                <c:pt idx="824">
                  <c:v>132.10736844892992</c:v>
                </c:pt>
                <c:pt idx="825">
                  <c:v>132.10759216809262</c:v>
                </c:pt>
                <c:pt idx="826">
                  <c:v>132.10781588372203</c:v>
                </c:pt>
                <c:pt idx="827">
                  <c:v>132.10803959581821</c:v>
                </c:pt>
                <c:pt idx="828">
                  <c:v>132.10826330438113</c:v>
                </c:pt>
                <c:pt idx="829">
                  <c:v>132.10848700941088</c:v>
                </c:pt>
                <c:pt idx="830">
                  <c:v>132.10871071090742</c:v>
                </c:pt>
                <c:pt idx="831">
                  <c:v>132.10893440887079</c:v>
                </c:pt>
                <c:pt idx="832">
                  <c:v>132.1091581033011</c:v>
                </c:pt>
                <c:pt idx="833">
                  <c:v>132.1093817941983</c:v>
                </c:pt>
                <c:pt idx="834">
                  <c:v>132.1096054815624</c:v>
                </c:pt>
                <c:pt idx="835">
                  <c:v>132.10982916539345</c:v>
                </c:pt>
                <c:pt idx="836">
                  <c:v>132.11005284569151</c:v>
                </c:pt>
                <c:pt idx="837">
                  <c:v>132.11027652245656</c:v>
                </c:pt>
                <c:pt idx="838">
                  <c:v>132.11050019568862</c:v>
                </c:pt>
                <c:pt idx="839">
                  <c:v>132.11072386538774</c:v>
                </c:pt>
                <c:pt idx="840">
                  <c:v>132.11094753155396</c:v>
                </c:pt>
                <c:pt idx="841">
                  <c:v>132.11117119418728</c:v>
                </c:pt>
                <c:pt idx="842">
                  <c:v>132.11139485328778</c:v>
                </c:pt>
                <c:pt idx="843">
                  <c:v>132.11161850885537</c:v>
                </c:pt>
                <c:pt idx="844">
                  <c:v>132.11184216089018</c:v>
                </c:pt>
                <c:pt idx="845">
                  <c:v>132.11206580939219</c:v>
                </c:pt>
                <c:pt idx="846">
                  <c:v>132.11228945436144</c:v>
                </c:pt>
                <c:pt idx="847">
                  <c:v>132.11251309579796</c:v>
                </c:pt>
                <c:pt idx="848">
                  <c:v>132.11273673370178</c:v>
                </c:pt>
                <c:pt idx="849">
                  <c:v>132.11296036807289</c:v>
                </c:pt>
                <c:pt idx="850">
                  <c:v>132.11318399891135</c:v>
                </c:pt>
                <c:pt idx="851">
                  <c:v>132.1134076262172</c:v>
                </c:pt>
                <c:pt idx="852">
                  <c:v>132.11363124999045</c:v>
                </c:pt>
                <c:pt idx="853">
                  <c:v>132.11385487023108</c:v>
                </c:pt>
                <c:pt idx="854">
                  <c:v>132.11407848693918</c:v>
                </c:pt>
                <c:pt idx="855">
                  <c:v>132.11430210011474</c:v>
                </c:pt>
                <c:pt idx="856">
                  <c:v>132.1145257097578</c:v>
                </c:pt>
                <c:pt idx="857">
                  <c:v>132.11474931586841</c:v>
                </c:pt>
                <c:pt idx="858">
                  <c:v>132.11497291844654</c:v>
                </c:pt>
                <c:pt idx="859">
                  <c:v>132.11519651749225</c:v>
                </c:pt>
                <c:pt idx="860">
                  <c:v>132.11542011300557</c:v>
                </c:pt>
                <c:pt idx="861">
                  <c:v>132.11564370498652</c:v>
                </c:pt>
                <c:pt idx="862">
                  <c:v>132.11586729343512</c:v>
                </c:pt>
                <c:pt idx="863">
                  <c:v>132.11609087835143</c:v>
                </c:pt>
                <c:pt idx="864">
                  <c:v>132.11631445973541</c:v>
                </c:pt>
                <c:pt idx="865">
                  <c:v>132.11653803758711</c:v>
                </c:pt>
                <c:pt idx="866">
                  <c:v>132.11676161190655</c:v>
                </c:pt>
                <c:pt idx="867">
                  <c:v>132.11698518269384</c:v>
                </c:pt>
                <c:pt idx="868">
                  <c:v>132.1172087499489</c:v>
                </c:pt>
                <c:pt idx="869">
                  <c:v>132.1174323136718</c:v>
                </c:pt>
                <c:pt idx="870">
                  <c:v>132.11765587386256</c:v>
                </c:pt>
                <c:pt idx="871">
                  <c:v>132.11787943052119</c:v>
                </c:pt>
                <c:pt idx="872">
                  <c:v>132.11810298364773</c:v>
                </c:pt>
                <c:pt idx="873">
                  <c:v>132.11832653324223</c:v>
                </c:pt>
                <c:pt idx="874">
                  <c:v>132.1185500793047</c:v>
                </c:pt>
                <c:pt idx="875">
                  <c:v>132.11877362183515</c:v>
                </c:pt>
                <c:pt idx="876">
                  <c:v>132.1189971608336</c:v>
                </c:pt>
                <c:pt idx="877">
                  <c:v>132.11922069630012</c:v>
                </c:pt>
                <c:pt idx="878">
                  <c:v>132.1194442282347</c:v>
                </c:pt>
                <c:pt idx="879">
                  <c:v>132.11966775663737</c:v>
                </c:pt>
                <c:pt idx="880">
                  <c:v>132.11989128150816</c:v>
                </c:pt>
                <c:pt idx="881">
                  <c:v>132.1201148028471</c:v>
                </c:pt>
                <c:pt idx="882">
                  <c:v>132.12033832065418</c:v>
                </c:pt>
                <c:pt idx="883">
                  <c:v>132.1205618349295</c:v>
                </c:pt>
                <c:pt idx="884">
                  <c:v>132.12078534567303</c:v>
                </c:pt>
                <c:pt idx="885">
                  <c:v>132.12100885288481</c:v>
                </c:pt>
                <c:pt idx="886">
                  <c:v>132.12123235656489</c:v>
                </c:pt>
                <c:pt idx="887">
                  <c:v>132.12145585671323</c:v>
                </c:pt>
                <c:pt idx="888">
                  <c:v>132.12167935332988</c:v>
                </c:pt>
                <c:pt idx="889">
                  <c:v>132.12190284641497</c:v>
                </c:pt>
                <c:pt idx="890">
                  <c:v>132.12212633596837</c:v>
                </c:pt>
                <c:pt idx="891">
                  <c:v>132.12234982199021</c:v>
                </c:pt>
                <c:pt idx="892">
                  <c:v>132.12257330448045</c:v>
                </c:pt>
                <c:pt idx="893">
                  <c:v>132.12279678343918</c:v>
                </c:pt>
                <c:pt idx="894">
                  <c:v>132.12302025886638</c:v>
                </c:pt>
                <c:pt idx="895">
                  <c:v>132.12324373076208</c:v>
                </c:pt>
                <c:pt idx="896">
                  <c:v>132.12346719912634</c:v>
                </c:pt>
                <c:pt idx="897">
                  <c:v>132.12369066395911</c:v>
                </c:pt>
                <c:pt idx="898">
                  <c:v>132.12391412526051</c:v>
                </c:pt>
                <c:pt idx="899">
                  <c:v>132.12413758303052</c:v>
                </c:pt>
                <c:pt idx="900">
                  <c:v>132.12436103726915</c:v>
                </c:pt>
                <c:pt idx="901">
                  <c:v>132.12458448797645</c:v>
                </c:pt>
                <c:pt idx="902">
                  <c:v>132.12480793515246</c:v>
                </c:pt>
                <c:pt idx="903">
                  <c:v>132.12503137879716</c:v>
                </c:pt>
                <c:pt idx="904">
                  <c:v>132.12525481891061</c:v>
                </c:pt>
                <c:pt idx="905">
                  <c:v>132.12547825549282</c:v>
                </c:pt>
                <c:pt idx="906">
                  <c:v>132.12570168854381</c:v>
                </c:pt>
                <c:pt idx="907">
                  <c:v>132.12592511806366</c:v>
                </c:pt>
                <c:pt idx="908">
                  <c:v>132.12614854405234</c:v>
                </c:pt>
                <c:pt idx="909">
                  <c:v>132.12637196650991</c:v>
                </c:pt>
                <c:pt idx="910">
                  <c:v>132.12659538543633</c:v>
                </c:pt>
                <c:pt idx="911">
                  <c:v>132.12681880083173</c:v>
                </c:pt>
                <c:pt idx="912">
                  <c:v>132.12704221269604</c:v>
                </c:pt>
                <c:pt idx="913">
                  <c:v>132.12726562102935</c:v>
                </c:pt>
                <c:pt idx="914">
                  <c:v>132.12748902583164</c:v>
                </c:pt>
                <c:pt idx="915">
                  <c:v>132.12771242710298</c:v>
                </c:pt>
                <c:pt idx="916">
                  <c:v>132.12793582484338</c:v>
                </c:pt>
                <c:pt idx="917">
                  <c:v>132.12815921905283</c:v>
                </c:pt>
                <c:pt idx="918">
                  <c:v>132.12838260973143</c:v>
                </c:pt>
                <c:pt idx="919">
                  <c:v>132.12860599687912</c:v>
                </c:pt>
                <c:pt idx="920">
                  <c:v>132.12882938049597</c:v>
                </c:pt>
                <c:pt idx="921">
                  <c:v>132.12905276058203</c:v>
                </c:pt>
                <c:pt idx="922">
                  <c:v>132.12927613713728</c:v>
                </c:pt>
                <c:pt idx="923">
                  <c:v>132.12949951016176</c:v>
                </c:pt>
                <c:pt idx="924">
                  <c:v>132.1297228796555</c:v>
                </c:pt>
                <c:pt idx="925">
                  <c:v>132.12994624561856</c:v>
                </c:pt>
                <c:pt idx="926">
                  <c:v>132.13016960805089</c:v>
                </c:pt>
                <c:pt idx="927">
                  <c:v>132.1303929669526</c:v>
                </c:pt>
                <c:pt idx="928">
                  <c:v>132.13061632232368</c:v>
                </c:pt>
                <c:pt idx="929">
                  <c:v>132.13083967416409</c:v>
                </c:pt>
                <c:pt idx="930">
                  <c:v>132.13106302247394</c:v>
                </c:pt>
                <c:pt idx="931">
                  <c:v>132.13128636725327</c:v>
                </c:pt>
                <c:pt idx="932">
                  <c:v>132.13150970850205</c:v>
                </c:pt>
                <c:pt idx="933">
                  <c:v>132.13173304622032</c:v>
                </c:pt>
                <c:pt idx="934">
                  <c:v>132.1319563804081</c:v>
                </c:pt>
                <c:pt idx="935">
                  <c:v>132.13217971106545</c:v>
                </c:pt>
                <c:pt idx="936">
                  <c:v>132.13240303819234</c:v>
                </c:pt>
                <c:pt idx="937">
                  <c:v>132.13262636178885</c:v>
                </c:pt>
                <c:pt idx="938">
                  <c:v>132.13284968185496</c:v>
                </c:pt>
                <c:pt idx="939">
                  <c:v>132.13307299839076</c:v>
                </c:pt>
                <c:pt idx="940">
                  <c:v>132.13329631139621</c:v>
                </c:pt>
                <c:pt idx="941">
                  <c:v>132.13351962087134</c:v>
                </c:pt>
                <c:pt idx="942">
                  <c:v>132.13374292681624</c:v>
                </c:pt>
                <c:pt idx="943">
                  <c:v>132.13396622923088</c:v>
                </c:pt>
                <c:pt idx="944">
                  <c:v>132.13418952811529</c:v>
                </c:pt>
                <c:pt idx="945">
                  <c:v>132.13441282346952</c:v>
                </c:pt>
                <c:pt idx="946">
                  <c:v>132.13463611529355</c:v>
                </c:pt>
                <c:pt idx="947">
                  <c:v>132.13485940358746</c:v>
                </c:pt>
                <c:pt idx="948">
                  <c:v>132.13508268835125</c:v>
                </c:pt>
                <c:pt idx="949">
                  <c:v>132.13530596958495</c:v>
                </c:pt>
                <c:pt idx="950">
                  <c:v>132.13552924728859</c:v>
                </c:pt>
                <c:pt idx="951">
                  <c:v>132.13575252146219</c:v>
                </c:pt>
                <c:pt idx="952">
                  <c:v>132.1359757921058</c:v>
                </c:pt>
                <c:pt idx="953">
                  <c:v>132.13619905921939</c:v>
                </c:pt>
                <c:pt idx="954">
                  <c:v>132.13642232280304</c:v>
                </c:pt>
                <c:pt idx="955">
                  <c:v>132.13664558285674</c:v>
                </c:pt>
                <c:pt idx="956">
                  <c:v>132.13686883938055</c:v>
                </c:pt>
                <c:pt idx="957">
                  <c:v>132.13709209237447</c:v>
                </c:pt>
                <c:pt idx="958">
                  <c:v>132.13731534183853</c:v>
                </c:pt>
                <c:pt idx="959">
                  <c:v>132.13753858777275</c:v>
                </c:pt>
                <c:pt idx="960">
                  <c:v>132.13776183017717</c:v>
                </c:pt>
                <c:pt idx="961">
                  <c:v>132.13798506905181</c:v>
                </c:pt>
                <c:pt idx="962">
                  <c:v>132.13820830439667</c:v>
                </c:pt>
                <c:pt idx="963">
                  <c:v>132.13843153621184</c:v>
                </c:pt>
                <c:pt idx="964">
                  <c:v>132.13865476449729</c:v>
                </c:pt>
                <c:pt idx="965">
                  <c:v>132.1388779892531</c:v>
                </c:pt>
                <c:pt idx="966">
                  <c:v>132.13910121047923</c:v>
                </c:pt>
                <c:pt idx="967">
                  <c:v>132.13932442817571</c:v>
                </c:pt>
                <c:pt idx="968">
                  <c:v>132.13954764234265</c:v>
                </c:pt>
                <c:pt idx="969">
                  <c:v>132.13977085298001</c:v>
                </c:pt>
                <c:pt idx="970">
                  <c:v>132.13999406008779</c:v>
                </c:pt>
                <c:pt idx="971">
                  <c:v>132.14021726366607</c:v>
                </c:pt>
                <c:pt idx="972">
                  <c:v>132.14044046371484</c:v>
                </c:pt>
                <c:pt idx="973">
                  <c:v>132.14066366023417</c:v>
                </c:pt>
                <c:pt idx="974">
                  <c:v>132.14088685322403</c:v>
                </c:pt>
                <c:pt idx="975">
                  <c:v>132.14111004268446</c:v>
                </c:pt>
                <c:pt idx="976">
                  <c:v>132.14133322861554</c:v>
                </c:pt>
                <c:pt idx="977">
                  <c:v>132.14155641101723</c:v>
                </c:pt>
                <c:pt idx="978">
                  <c:v>132.14177958988961</c:v>
                </c:pt>
                <c:pt idx="979">
                  <c:v>132.14200276523266</c:v>
                </c:pt>
                <c:pt idx="980">
                  <c:v>132.14222593704642</c:v>
                </c:pt>
                <c:pt idx="981">
                  <c:v>132.14244910533091</c:v>
                </c:pt>
                <c:pt idx="982">
                  <c:v>132.14267227008619</c:v>
                </c:pt>
                <c:pt idx="983">
                  <c:v>132.14289543131227</c:v>
                </c:pt>
                <c:pt idx="984">
                  <c:v>132.14311858900913</c:v>
                </c:pt>
                <c:pt idx="985">
                  <c:v>132.14334174317688</c:v>
                </c:pt>
                <c:pt idx="986">
                  <c:v>132.14356489381544</c:v>
                </c:pt>
                <c:pt idx="987">
                  <c:v>132.14378804092493</c:v>
                </c:pt>
                <c:pt idx="988">
                  <c:v>132.14401118450533</c:v>
                </c:pt>
                <c:pt idx="989">
                  <c:v>132.14423432455669</c:v>
                </c:pt>
                <c:pt idx="990">
                  <c:v>132.14445746107901</c:v>
                </c:pt>
                <c:pt idx="991">
                  <c:v>132.14468059407233</c:v>
                </c:pt>
                <c:pt idx="992">
                  <c:v>132.14490372353669</c:v>
                </c:pt>
                <c:pt idx="993">
                  <c:v>132.14512684947209</c:v>
                </c:pt>
                <c:pt idx="994">
                  <c:v>132.14534997187855</c:v>
                </c:pt>
                <c:pt idx="995">
                  <c:v>132.14557309075616</c:v>
                </c:pt>
                <c:pt idx="996">
                  <c:v>132.14579620610485</c:v>
                </c:pt>
                <c:pt idx="997">
                  <c:v>132.14601931792473</c:v>
                </c:pt>
                <c:pt idx="998">
                  <c:v>132.14624242621576</c:v>
                </c:pt>
                <c:pt idx="999">
                  <c:v>132.14646553097802</c:v>
                </c:pt>
                <c:pt idx="1000">
                  <c:v>132.14668863221152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5-5B4B-A9BE-4FC1D788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20192"/>
        <c:axId val="1"/>
      </c:scatterChart>
      <c:valAx>
        <c:axId val="1805920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Courbes!$B$141</c:f>
              <c:strCache>
                <c:ptCount val="1"/>
                <c:pt idx="0">
                  <c:v>Vitesse [m/s]</c:v>
                </c:pt>
              </c:strCache>
            </c:strRef>
          </c:tx>
          <c:layout>
            <c:manualLayout>
              <c:xMode val="edge"/>
              <c:yMode val="edge"/>
              <c:x val="2.5943396226415096E-2"/>
              <c:y val="0.2287587051618547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20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40934540816568"/>
          <c:y val="0.46582833845835819"/>
          <c:w val="0.1219196919265597"/>
          <c:h val="7.69257806628481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Accélérations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4339622641509524E-2"/>
          <c:y val="9.4771241830065356E-2"/>
          <c:w val="0.88679245283019092"/>
          <c:h val="0.81699346405228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Courbes!$B$137</c:f>
              <c:strCache>
                <c:ptCount val="1"/>
                <c:pt idx="0">
                  <c:v>Accélération longitudinale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Calculs!$AG$4:$AG$1004</c:f>
              <c:numCache>
                <c:formatCode>0.00</c:formatCode>
                <c:ptCount val="1001"/>
                <c:pt idx="0">
                  <c:v>0</c:v>
                </c:pt>
                <c:pt idx="1">
                  <c:v>0.71525722463855601</c:v>
                </c:pt>
                <c:pt idx="2">
                  <c:v>21.696080611578964</c:v>
                </c:pt>
                <c:pt idx="3">
                  <c:v>42.689037136705423</c:v>
                </c:pt>
                <c:pt idx="4">
                  <c:v>63.700667262256296</c:v>
                </c:pt>
                <c:pt idx="5">
                  <c:v>84.737430648039634</c:v>
                </c:pt>
                <c:pt idx="6">
                  <c:v>95.16863012267639</c:v>
                </c:pt>
                <c:pt idx="7">
                  <c:v>94.973385455048231</c:v>
                </c:pt>
                <c:pt idx="8">
                  <c:v>94.777120035836319</c:v>
                </c:pt>
                <c:pt idx="9">
                  <c:v>94.579837291903729</c:v>
                </c:pt>
                <c:pt idx="10">
                  <c:v>94.381540689303748</c:v>
                </c:pt>
                <c:pt idx="11">
                  <c:v>94.182233733005347</c:v>
                </c:pt>
                <c:pt idx="12">
                  <c:v>93.981919966615266</c:v>
                </c:pt>
                <c:pt idx="13">
                  <c:v>93.78060297209656</c:v>
                </c:pt>
                <c:pt idx="14">
                  <c:v>93.578286369483692</c:v>
                </c:pt>
                <c:pt idx="15">
                  <c:v>93.374973816594377</c:v>
                </c:pt>
                <c:pt idx="16">
                  <c:v>93.170669008737789</c:v>
                </c:pt>
                <c:pt idx="17">
                  <c:v>92.965375678419761</c:v>
                </c:pt>
                <c:pt idx="18">
                  <c:v>92.759097595044537</c:v>
                </c:pt>
                <c:pt idx="19">
                  <c:v>92.55183856461322</c:v>
                </c:pt>
                <c:pt idx="20">
                  <c:v>92.343602429419292</c:v>
                </c:pt>
                <c:pt idx="21">
                  <c:v>92.134393067740817</c:v>
                </c:pt>
                <c:pt idx="22">
                  <c:v>91.92421439352951</c:v>
                </c:pt>
                <c:pt idx="23">
                  <c:v>91.713070356096921</c:v>
                </c:pt>
                <c:pt idx="24">
                  <c:v>91.500964939797427</c:v>
                </c:pt>
                <c:pt idx="25">
                  <c:v>91.287902163708409</c:v>
                </c:pt>
                <c:pt idx="26">
                  <c:v>91.073886081307478</c:v>
                </c:pt>
                <c:pt idx="27">
                  <c:v>90.858920780146789</c:v>
                </c:pt>
                <c:pt idx="28">
                  <c:v>90.643010381524533</c:v>
                </c:pt>
                <c:pt idx="29">
                  <c:v>90.426159040153792</c:v>
                </c:pt>
                <c:pt idx="30">
                  <c:v>90.208370943828442</c:v>
                </c:pt>
                <c:pt idx="31">
                  <c:v>89.989650313086656</c:v>
                </c:pt>
                <c:pt idx="32">
                  <c:v>89.770001400871465</c:v>
                </c:pt>
                <c:pt idx="33">
                  <c:v>89.549428492188966</c:v>
                </c:pt>
                <c:pt idx="34">
                  <c:v>89.328193321675286</c:v>
                </c:pt>
                <c:pt idx="35">
                  <c:v>89.106040389009792</c:v>
                </c:pt>
                <c:pt idx="36">
                  <c:v>88.882970475367827</c:v>
                </c:pt>
                <c:pt idx="37">
                  <c:v>88.658988313180586</c:v>
                </c:pt>
                <c:pt idx="38">
                  <c:v>88.434098638571626</c:v>
                </c:pt>
                <c:pt idx="39">
                  <c:v>88.208306193880546</c:v>
                </c:pt>
                <c:pt idx="40">
                  <c:v>87.981615729802257</c:v>
                </c:pt>
                <c:pt idx="41">
                  <c:v>87.754032007201431</c:v>
                </c:pt>
                <c:pt idx="42">
                  <c:v>87.525559798651784</c:v>
                </c:pt>
                <c:pt idx="43">
                  <c:v>87.296203889739971</c:v>
                </c:pt>
                <c:pt idx="44">
                  <c:v>87.06596908016806</c:v>
                </c:pt>
                <c:pt idx="45">
                  <c:v>86.834860184683052</c:v>
                </c:pt>
                <c:pt idx="46">
                  <c:v>86.602882033856176</c:v>
                </c:pt>
                <c:pt idx="47">
                  <c:v>86.370039474732948</c:v>
                </c:pt>
                <c:pt idx="48">
                  <c:v>86.136337371370061</c:v>
                </c:pt>
                <c:pt idx="49">
                  <c:v>85.90178060527353</c:v>
                </c:pt>
                <c:pt idx="50">
                  <c:v>85.666374075750667</c:v>
                </c:pt>
                <c:pt idx="51">
                  <c:v>85.486180745286717</c:v>
                </c:pt>
                <c:pt idx="52">
                  <c:v>85.361293875499598</c:v>
                </c:pt>
                <c:pt idx="53">
                  <c:v>85.235693045247018</c:v>
                </c:pt>
                <c:pt idx="54">
                  <c:v>85.10938048372914</c:v>
                </c:pt>
                <c:pt idx="55">
                  <c:v>84.982358438707195</c:v>
                </c:pt>
                <c:pt idx="56">
                  <c:v>84.854629176718646</c:v>
                </c:pt>
                <c:pt idx="57">
                  <c:v>84.726194983259049</c:v>
                </c:pt>
                <c:pt idx="58">
                  <c:v>84.597058162933962</c:v>
                </c:pt>
                <c:pt idx="59">
                  <c:v>84.467221039583848</c:v>
                </c:pt>
                <c:pt idx="60">
                  <c:v>84.336685956384457</c:v>
                </c:pt>
                <c:pt idx="61">
                  <c:v>84.205455275925118</c:v>
                </c:pt>
                <c:pt idx="62">
                  <c:v>84.073531380266587</c:v>
                </c:pt>
                <c:pt idx="63">
                  <c:v>83.940916670980826</c:v>
                </c:pt>
                <c:pt idx="64">
                  <c:v>83.807613569173625</c:v>
                </c:pt>
                <c:pt idx="65">
                  <c:v>83.673624515492278</c:v>
                </c:pt>
                <c:pt idx="66">
                  <c:v>83.538951970118575</c:v>
                </c:pt>
                <c:pt idx="67">
                  <c:v>83.403598412749517</c:v>
                </c:pt>
                <c:pt idx="68">
                  <c:v>83.267566342565473</c:v>
                </c:pt>
                <c:pt idx="69">
                  <c:v>83.130858278187759</c:v>
                </c:pt>
                <c:pt idx="70">
                  <c:v>82.993476757625743</c:v>
                </c:pt>
                <c:pt idx="71">
                  <c:v>82.855424338214803</c:v>
                </c:pt>
                <c:pt idx="72">
                  <c:v>82.716703596545315</c:v>
                </c:pt>
                <c:pt idx="73">
                  <c:v>82.577317128383569</c:v>
                </c:pt>
                <c:pt idx="74">
                  <c:v>82.437267548585325</c:v>
                </c:pt>
                <c:pt idx="75">
                  <c:v>82.296557491001863</c:v>
                </c:pt>
                <c:pt idx="76">
                  <c:v>82.155189608380056</c:v>
                </c:pt>
                <c:pt idx="77">
                  <c:v>82.013166572255727</c:v>
                </c:pt>
                <c:pt idx="78">
                  <c:v>81.870491072841617</c:v>
                </c:pt>
                <c:pt idx="79">
                  <c:v>81.727165818909626</c:v>
                </c:pt>
                <c:pt idx="80">
                  <c:v>81.583193537668336</c:v>
                </c:pt>
                <c:pt idx="81">
                  <c:v>81.438576974635382</c:v>
                </c:pt>
                <c:pt idx="82">
                  <c:v>81.293318893505571</c:v>
                </c:pt>
                <c:pt idx="83">
                  <c:v>81.147422076014692</c:v>
                </c:pt>
                <c:pt idx="84">
                  <c:v>81.000889321799121</c:v>
                </c:pt>
                <c:pt idx="85">
                  <c:v>80.853723448252026</c:v>
                </c:pt>
                <c:pt idx="86">
                  <c:v>80.705927290375541</c:v>
                </c:pt>
                <c:pt idx="87">
                  <c:v>80.55750370062988</c:v>
                </c:pt>
                <c:pt idx="88">
                  <c:v>80.408455548779003</c:v>
                </c:pt>
                <c:pt idx="89">
                  <c:v>80.258785721733361</c:v>
                </c:pt>
                <c:pt idx="90">
                  <c:v>80.108497123389625</c:v>
                </c:pt>
                <c:pt idx="91">
                  <c:v>79.957592674467804</c:v>
                </c:pt>
                <c:pt idx="92">
                  <c:v>79.80607531234547</c:v>
                </c:pt>
                <c:pt idx="93">
                  <c:v>79.653947990889719</c:v>
                </c:pt>
                <c:pt idx="94">
                  <c:v>79.501213680286725</c:v>
                </c:pt>
                <c:pt idx="95">
                  <c:v>79.347875366868792</c:v>
                </c:pt>
                <c:pt idx="96">
                  <c:v>79.193936052939549</c:v>
                </c:pt>
                <c:pt idx="97">
                  <c:v>79.039398756596754</c:v>
                </c:pt>
                <c:pt idx="98">
                  <c:v>78.884266511553449</c:v>
                </c:pt>
                <c:pt idx="99">
                  <c:v>78.72854236695693</c:v>
                </c:pt>
                <c:pt idx="100">
                  <c:v>78.57222938720605</c:v>
                </c:pt>
                <c:pt idx="101">
                  <c:v>78.389445380284698</c:v>
                </c:pt>
                <c:pt idx="102">
                  <c:v>78.180164123023516</c:v>
                </c:pt>
                <c:pt idx="103">
                  <c:v>77.970269053415194</c:v>
                </c:pt>
                <c:pt idx="104">
                  <c:v>77.759764503811283</c:v>
                </c:pt>
                <c:pt idx="105">
                  <c:v>77.548654818956521</c:v>
                </c:pt>
                <c:pt idx="106">
                  <c:v>77.33694435570186</c:v>
                </c:pt>
                <c:pt idx="107">
                  <c:v>77.124637482716622</c:v>
                </c:pt>
                <c:pt idx="108">
                  <c:v>76.911738580199753</c:v>
                </c:pt>
                <c:pt idx="109">
                  <c:v>76.6982520395905</c:v>
                </c:pt>
                <c:pt idx="110">
                  <c:v>76.484182263278143</c:v>
                </c:pt>
                <c:pt idx="111">
                  <c:v>76.269533664311297</c:v>
                </c:pt>
                <c:pt idx="112">
                  <c:v>76.054310666106645</c:v>
                </c:pt>
                <c:pt idx="113">
                  <c:v>75.838517702157105</c:v>
                </c:pt>
                <c:pt idx="114">
                  <c:v>75.622159215739629</c:v>
                </c:pt>
                <c:pt idx="115">
                  <c:v>75.405239659622779</c:v>
                </c:pt>
                <c:pt idx="116">
                  <c:v>75.187763495773623</c:v>
                </c:pt>
                <c:pt idx="117">
                  <c:v>74.969735195064857</c:v>
                </c:pt>
                <c:pt idx="118">
                  <c:v>74.75115923698138</c:v>
                </c:pt>
                <c:pt idx="119">
                  <c:v>74.532040109326886</c:v>
                </c:pt>
                <c:pt idx="120">
                  <c:v>74.312382307930406</c:v>
                </c:pt>
                <c:pt idx="121">
                  <c:v>74.092190336352743</c:v>
                </c:pt>
                <c:pt idx="122">
                  <c:v>73.871468705592903</c:v>
                </c:pt>
                <c:pt idx="123">
                  <c:v>73.650221933794739</c:v>
                </c:pt>
                <c:pt idx="124">
                  <c:v>73.428454545953571</c:v>
                </c:pt>
                <c:pt idx="125">
                  <c:v>73.206171073623025</c:v>
                </c:pt>
                <c:pt idx="126">
                  <c:v>72.983376054622099</c:v>
                </c:pt>
                <c:pt idx="127">
                  <c:v>72.760074032742452</c:v>
                </c:pt>
                <c:pt idx="128">
                  <c:v>72.536269557456095</c:v>
                </c:pt>
                <c:pt idx="129">
                  <c:v>72.311967183623167</c:v>
                </c:pt>
                <c:pt idx="130">
                  <c:v>72.087171471200477</c:v>
                </c:pt>
                <c:pt idx="131">
                  <c:v>71.861886984950132</c:v>
                </c:pt>
                <c:pt idx="132">
                  <c:v>71.636118294148829</c:v>
                </c:pt>
                <c:pt idx="133">
                  <c:v>71.40986997229767</c:v>
                </c:pt>
                <c:pt idx="134">
                  <c:v>71.18314659683233</c:v>
                </c:pt>
                <c:pt idx="135">
                  <c:v>70.955952748833951</c:v>
                </c:pt>
                <c:pt idx="136">
                  <c:v>70.728293012740835</c:v>
                </c:pt>
                <c:pt idx="137">
                  <c:v>70.500171976060415</c:v>
                </c:pt>
                <c:pt idx="138">
                  <c:v>70.271594229082197</c:v>
                </c:pt>
                <c:pt idx="139">
                  <c:v>70.042564364591428</c:v>
                </c:pt>
                <c:pt idx="140">
                  <c:v>69.813086977583396</c:v>
                </c:pt>
                <c:pt idx="141">
                  <c:v>69.583166664978663</c:v>
                </c:pt>
                <c:pt idx="142">
                  <c:v>69.352808025339101</c:v>
                </c:pt>
                <c:pt idx="143">
                  <c:v>69.122015658584772</c:v>
                </c:pt>
                <c:pt idx="144">
                  <c:v>68.89079416571181</c:v>
                </c:pt>
                <c:pt idx="145">
                  <c:v>68.659148148510951</c:v>
                </c:pt>
                <c:pt idx="146">
                  <c:v>68.427082209287605</c:v>
                </c:pt>
                <c:pt idx="147">
                  <c:v>68.194600950582284</c:v>
                </c:pt>
                <c:pt idx="148">
                  <c:v>67.961708974892531</c:v>
                </c:pt>
                <c:pt idx="149">
                  <c:v>67.728410884395743</c:v>
                </c:pt>
                <c:pt idx="150">
                  <c:v>67.494711280672902</c:v>
                </c:pt>
                <c:pt idx="151">
                  <c:v>67.269432832521616</c:v>
                </c:pt>
                <c:pt idx="152">
                  <c:v>67.052585855543938</c:v>
                </c:pt>
                <c:pt idx="153">
                  <c:v>66.83535502515295</c:v>
                </c:pt>
                <c:pt idx="154">
                  <c:v>66.61774454904382</c:v>
                </c:pt>
                <c:pt idx="155">
                  <c:v>66.399758634593368</c:v>
                </c:pt>
                <c:pt idx="156">
                  <c:v>66.181401488617254</c:v>
                </c:pt>
                <c:pt idx="157">
                  <c:v>65.962677317128069</c:v>
                </c:pt>
                <c:pt idx="158">
                  <c:v>65.743590325094544</c:v>
                </c:pt>
                <c:pt idx="159">
                  <c:v>65.524144716201477</c:v>
                </c:pt>
                <c:pt idx="160">
                  <c:v>65.304344692611323</c:v>
                </c:pt>
                <c:pt idx="161">
                  <c:v>65.084194454726259</c:v>
                </c:pt>
                <c:pt idx="162">
                  <c:v>64.863698200951632</c:v>
                </c:pt>
                <c:pt idx="163">
                  <c:v>64.642860127460736</c:v>
                </c:pt>
                <c:pt idx="164">
                  <c:v>64.421684427960287</c:v>
                </c:pt>
                <c:pt idx="165">
                  <c:v>64.200175293457377</c:v>
                </c:pt>
                <c:pt idx="166">
                  <c:v>63.978336912027679</c:v>
                </c:pt>
                <c:pt idx="167">
                  <c:v>63.756173468584663</c:v>
                </c:pt>
                <c:pt idx="168">
                  <c:v>63.533689144650076</c:v>
                </c:pt>
                <c:pt idx="169">
                  <c:v>63.31088811812586</c:v>
                </c:pt>
                <c:pt idx="170">
                  <c:v>63.087774563067164</c:v>
                </c:pt>
                <c:pt idx="171">
                  <c:v>62.864352649456755</c:v>
                </c:pt>
                <c:pt idx="172">
                  <c:v>62.640626542980598</c:v>
                </c:pt>
                <c:pt idx="173">
                  <c:v>62.416600404805052</c:v>
                </c:pt>
                <c:pt idx="174">
                  <c:v>62.192278391355082</c:v>
                </c:pt>
                <c:pt idx="175">
                  <c:v>61.967664654094051</c:v>
                </c:pt>
                <c:pt idx="176">
                  <c:v>61.742763339304894</c:v>
                </c:pt>
                <c:pt idx="177">
                  <c:v>61.517578587872606</c:v>
                </c:pt>
                <c:pt idx="178">
                  <c:v>61.292114535068166</c:v>
                </c:pt>
                <c:pt idx="179">
                  <c:v>61.066375310334024</c:v>
                </c:pt>
                <c:pt idx="180">
                  <c:v>60.840365037070889</c:v>
                </c:pt>
                <c:pt idx="181">
                  <c:v>60.614087832425938</c:v>
                </c:pt>
                <c:pt idx="182">
                  <c:v>60.387547807082875</c:v>
                </c:pt>
                <c:pt idx="183">
                  <c:v>60.160749065053011</c:v>
                </c:pt>
                <c:pt idx="184">
                  <c:v>59.93369570346816</c:v>
                </c:pt>
                <c:pt idx="185">
                  <c:v>59.706391812374996</c:v>
                </c:pt>
                <c:pt idx="186">
                  <c:v>59.478841474530896</c:v>
                </c:pt>
                <c:pt idx="187">
                  <c:v>59.251048765201546</c:v>
                </c:pt>
                <c:pt idx="188">
                  <c:v>59.023017751959692</c:v>
                </c:pt>
                <c:pt idx="189">
                  <c:v>58.794752494486019</c:v>
                </c:pt>
                <c:pt idx="190">
                  <c:v>58.566257044371227</c:v>
                </c:pt>
                <c:pt idx="191">
                  <c:v>58.33753544491983</c:v>
                </c:pt>
                <c:pt idx="192">
                  <c:v>58.108591730955681</c:v>
                </c:pt>
                <c:pt idx="193">
                  <c:v>57.879429928629001</c:v>
                </c:pt>
                <c:pt idx="194">
                  <c:v>57.650054055225013</c:v>
                </c:pt>
                <c:pt idx="195">
                  <c:v>57.420468118974533</c:v>
                </c:pt>
                <c:pt idx="196">
                  <c:v>57.190676118865809</c:v>
                </c:pt>
                <c:pt idx="197">
                  <c:v>56.960682044458395</c:v>
                </c:pt>
                <c:pt idx="198">
                  <c:v>56.73048987569841</c:v>
                </c:pt>
                <c:pt idx="199">
                  <c:v>56.500103582735818</c:v>
                </c:pt>
                <c:pt idx="200">
                  <c:v>56.269527125743181</c:v>
                </c:pt>
                <c:pt idx="201">
                  <c:v>56.038764454736189</c:v>
                </c:pt>
                <c:pt idx="202">
                  <c:v>55.807819509395912</c:v>
                </c:pt>
                <c:pt idx="203">
                  <c:v>55.57669621889287</c:v>
                </c:pt>
                <c:pt idx="204">
                  <c:v>55.345398501712729</c:v>
                </c:pt>
                <c:pt idx="205">
                  <c:v>55.113930265483887</c:v>
                </c:pt>
                <c:pt idx="206">
                  <c:v>54.882295406806584</c:v>
                </c:pt>
                <c:pt idx="207">
                  <c:v>54.650497811084051</c:v>
                </c:pt>
                <c:pt idx="208">
                  <c:v>54.418541352355355</c:v>
                </c:pt>
                <c:pt idx="209">
                  <c:v>54.186429893129848</c:v>
                </c:pt>
                <c:pt idx="210">
                  <c:v>53.954167284223651</c:v>
                </c:pt>
                <c:pt idx="211">
                  <c:v>53.721757364597792</c:v>
                </c:pt>
                <c:pt idx="212">
                  <c:v>53.489203961198164</c:v>
                </c:pt>
                <c:pt idx="213">
                  <c:v>53.256510888797351</c:v>
                </c:pt>
                <c:pt idx="214">
                  <c:v>53.023681949838114</c:v>
                </c:pt>
                <c:pt idx="215">
                  <c:v>52.790720934278951</c:v>
                </c:pt>
                <c:pt idx="216">
                  <c:v>52.557631619441203</c:v>
                </c:pt>
                <c:pt idx="217">
                  <c:v>52.324417769858123</c:v>
                </c:pt>
                <c:pt idx="218">
                  <c:v>52.091083137125835</c:v>
                </c:pt>
                <c:pt idx="219">
                  <c:v>51.857631459755922</c:v>
                </c:pt>
                <c:pt idx="220">
                  <c:v>51.624066463030147</c:v>
                </c:pt>
                <c:pt idx="221">
                  <c:v>51.390391858856724</c:v>
                </c:pt>
                <c:pt idx="222">
                  <c:v>51.156611345628576</c:v>
                </c:pt>
                <c:pt idx="223">
                  <c:v>50.92272860808346</c:v>
                </c:pt>
                <c:pt idx="224">
                  <c:v>50.688747317165856</c:v>
                </c:pt>
                <c:pt idx="225">
                  <c:v>50.454671129890869</c:v>
                </c:pt>
                <c:pt idx="226">
                  <c:v>50.220503689209664</c:v>
                </c:pt>
                <c:pt idx="227">
                  <c:v>49.986248623877216</c:v>
                </c:pt>
                <c:pt idx="228">
                  <c:v>49.751909548321422</c:v>
                </c:pt>
                <c:pt idx="229">
                  <c:v>49.517490062514455</c:v>
                </c:pt>
                <c:pt idx="230">
                  <c:v>49.282993751845851</c:v>
                </c:pt>
                <c:pt idx="231">
                  <c:v>49.048424186997295</c:v>
                </c:pt>
                <c:pt idx="232">
                  <c:v>48.813784923819576</c:v>
                </c:pt>
                <c:pt idx="233">
                  <c:v>48.579079503211119</c:v>
                </c:pt>
                <c:pt idx="234">
                  <c:v>48.344311450998546</c:v>
                </c:pt>
                <c:pt idx="235">
                  <c:v>48.109484277819043</c:v>
                </c:pt>
                <c:pt idx="236">
                  <c:v>47.874601479004525</c:v>
                </c:pt>
                <c:pt idx="237">
                  <c:v>47.639666534467828</c:v>
                </c:pt>
                <c:pt idx="238">
                  <c:v>47.404682908590509</c:v>
                </c:pt>
                <c:pt idx="239">
                  <c:v>47.16965405011274</c:v>
                </c:pt>
                <c:pt idx="240">
                  <c:v>46.934583392024969</c:v>
                </c:pt>
                <c:pt idx="241">
                  <c:v>46.699474351461319</c:v>
                </c:pt>
                <c:pt idx="242">
                  <c:v>46.464330329595015</c:v>
                </c:pt>
                <c:pt idx="243">
                  <c:v>46.229154711535557</c:v>
                </c:pt>
                <c:pt idx="244">
                  <c:v>45.993950866227728</c:v>
                </c:pt>
                <c:pt idx="245">
                  <c:v>45.758722146352561</c:v>
                </c:pt>
                <c:pt idx="246">
                  <c:v>45.523471888229906</c:v>
                </c:pt>
                <c:pt idx="247">
                  <c:v>45.288203411723181</c:v>
                </c:pt>
                <c:pt idx="248">
                  <c:v>45.052920020145564</c:v>
                </c:pt>
                <c:pt idx="249">
                  <c:v>44.817625000168348</c:v>
                </c:pt>
                <c:pt idx="250">
                  <c:v>44.58232162173092</c:v>
                </c:pt>
                <c:pt idx="251">
                  <c:v>44.308917285285943</c:v>
                </c:pt>
                <c:pt idx="252">
                  <c:v>43.997422555787715</c:v>
                </c:pt>
                <c:pt idx="253">
                  <c:v>43.685970201374374</c:v>
                </c:pt>
                <c:pt idx="254">
                  <c:v>43.374564737278988</c:v>
                </c:pt>
                <c:pt idx="255">
                  <c:v>43.063210649106352</c:v>
                </c:pt>
                <c:pt idx="256">
                  <c:v>42.751912392723874</c:v>
                </c:pt>
                <c:pt idx="257">
                  <c:v>42.440674394155948</c:v>
                </c:pt>
                <c:pt idx="258">
                  <c:v>42.129501049481547</c:v>
                </c:pt>
                <c:pt idx="259">
                  <c:v>41.818396724735059</c:v>
                </c:pt>
                <c:pt idx="260">
                  <c:v>41.507365755810696</c:v>
                </c:pt>
                <c:pt idx="261">
                  <c:v>41.196412448369884</c:v>
                </c:pt>
                <c:pt idx="262">
                  <c:v>40.885541077752073</c:v>
                </c:pt>
                <c:pt idx="263">
                  <c:v>40.574755888888795</c:v>
                </c:pt>
                <c:pt idx="264">
                  <c:v>40.264061096220992</c:v>
                </c:pt>
                <c:pt idx="265">
                  <c:v>39.953460883619385</c:v>
                </c:pt>
                <c:pt idx="266">
                  <c:v>39.642959404308243</c:v>
                </c:pt>
                <c:pt idx="267">
                  <c:v>39.332560780792257</c:v>
                </c:pt>
                <c:pt idx="268">
                  <c:v>39.022269104786439</c:v>
                </c:pt>
                <c:pt idx="269">
                  <c:v>38.71208843714949</c:v>
                </c:pt>
                <c:pt idx="270">
                  <c:v>38.402022807819868</c:v>
                </c:pt>
                <c:pt idx="271">
                  <c:v>38.092076215755299</c:v>
                </c:pt>
                <c:pt idx="272">
                  <c:v>37.782252628875185</c:v>
                </c:pt>
                <c:pt idx="273">
                  <c:v>37.472555984006171</c:v>
                </c:pt>
                <c:pt idx="274">
                  <c:v>37.162990186830648</c:v>
                </c:pt>
                <c:pt idx="275">
                  <c:v>36.853559111838358</c:v>
                </c:pt>
                <c:pt idx="276">
                  <c:v>36.544266602280985</c:v>
                </c:pt>
                <c:pt idx="277">
                  <c:v>36.235116470129675</c:v>
                </c:pt>
                <c:pt idx="278">
                  <c:v>35.92611249603555</c:v>
                </c:pt>
                <c:pt idx="279">
                  <c:v>35.61725842929313</c:v>
                </c:pt>
                <c:pt idx="280">
                  <c:v>35.308557987806751</c:v>
                </c:pt>
                <c:pt idx="281">
                  <c:v>35.000014858059657</c:v>
                </c:pt>
                <c:pt idx="282">
                  <c:v>34.69163269508622</c:v>
                </c:pt>
                <c:pt idx="283">
                  <c:v>34.383415122446848</c:v>
                </c:pt>
                <c:pt idx="284">
                  <c:v>34.075365732205697</c:v>
                </c:pt>
                <c:pt idx="285">
                  <c:v>33.767488084911264</c:v>
                </c:pt>
                <c:pt idx="286">
                  <c:v>33.459785709579705</c:v>
                </c:pt>
                <c:pt idx="287">
                  <c:v>33.152262103680904</c:v>
                </c:pt>
                <c:pt idx="288">
                  <c:v>32.844920733127253</c:v>
                </c:pt>
                <c:pt idx="289">
                  <c:v>32.537765032265163</c:v>
                </c:pt>
                <c:pt idx="290">
                  <c:v>32.230798403869258</c:v>
                </c:pt>
                <c:pt idx="291">
                  <c:v>31.924024219139177</c:v>
                </c:pt>
                <c:pt idx="292">
                  <c:v>31.617445817699029</c:v>
                </c:pt>
                <c:pt idx="293">
                  <c:v>31.311066507599428</c:v>
                </c:pt>
                <c:pt idx="294">
                  <c:v>31.004889565322181</c:v>
                </c:pt>
                <c:pt idx="295">
                  <c:v>30.698918235787485</c:v>
                </c:pt>
                <c:pt idx="296">
                  <c:v>30.393155732363518</c:v>
                </c:pt>
                <c:pt idx="297">
                  <c:v>30.087605236878836</c:v>
                </c:pt>
                <c:pt idx="298">
                  <c:v>29.363997763415586</c:v>
                </c:pt>
                <c:pt idx="299">
                  <c:v>28.222593810288306</c:v>
                </c:pt>
                <c:pt idx="300">
                  <c:v>27.082167535170591</c:v>
                </c:pt>
                <c:pt idx="301">
                  <c:v>25.942744018717235</c:v>
                </c:pt>
                <c:pt idx="302">
                  <c:v>24.804347950864013</c:v>
                </c:pt>
                <c:pt idx="303">
                  <c:v>23.667003630814847</c:v>
                </c:pt>
                <c:pt idx="304">
                  <c:v>22.530734967101331</c:v>
                </c:pt>
                <c:pt idx="305">
                  <c:v>21.395565477714012</c:v>
                </c:pt>
                <c:pt idx="306">
                  <c:v>20.261518290303897</c:v>
                </c:pt>
                <c:pt idx="307">
                  <c:v>19.128616142453495</c:v>
                </c:pt>
                <c:pt idx="308">
                  <c:v>17.9968813820159</c:v>
                </c:pt>
                <c:pt idx="309">
                  <c:v>16.866335967521213</c:v>
                </c:pt>
                <c:pt idx="310">
                  <c:v>15.73700146864881</c:v>
                </c:pt>
                <c:pt idx="311">
                  <c:v>14.608899066764721</c:v>
                </c:pt>
                <c:pt idx="312">
                  <c:v>13.482049555522623</c:v>
                </c:pt>
                <c:pt idx="313">
                  <c:v>12.356473341527568</c:v>
                </c:pt>
                <c:pt idx="314">
                  <c:v>11.23219044506124</c:v>
                </c:pt>
                <c:pt idx="315">
                  <c:v>10.109220500867666</c:v>
                </c:pt>
                <c:pt idx="316">
                  <c:v>8.9875827589979096</c:v>
                </c:pt>
                <c:pt idx="317">
                  <c:v>7.8672960857133099</c:v>
                </c:pt>
                <c:pt idx="318">
                  <c:v>6.7483789644452106</c:v>
                </c:pt>
                <c:pt idx="319">
                  <c:v>5.6308494968107734</c:v>
                </c:pt>
                <c:pt idx="320">
                  <c:v>4.5147254036834283</c:v>
                </c:pt>
                <c:pt idx="321">
                  <c:v>3.5663737096036634</c:v>
                </c:pt>
                <c:pt idx="322">
                  <c:v>2.7856170062806456</c:v>
                </c:pt>
                <c:pt idx="323">
                  <c:v>2.0058748997508236</c:v>
                </c:pt>
                <c:pt idx="324">
                  <c:v>1.2271549695098631</c:v>
                </c:pt>
                <c:pt idx="325">
                  <c:v>0.44946461146517613</c:v>
                </c:pt>
                <c:pt idx="326">
                  <c:v>-0.32718896125817309</c:v>
                </c:pt>
                <c:pt idx="327">
                  <c:v>-1.1027987174964178</c:v>
                </c:pt>
                <c:pt idx="328">
                  <c:v>-1.877357807212066</c:v>
                </c:pt>
                <c:pt idx="329">
                  <c:v>-2.6508595606445704</c:v>
                </c:pt>
                <c:pt idx="330">
                  <c:v>-3.4232974874476438</c:v>
                </c:pt>
                <c:pt idx="331">
                  <c:v>-4.1946652758133176</c:v>
                </c:pt>
                <c:pt idx="332">
                  <c:v>-4.9649567915831465</c:v>
                </c:pt>
                <c:pt idx="333">
                  <c:v>-5.7341660773471324</c:v>
                </c:pt>
                <c:pt idx="334">
                  <c:v>-6.5022873515305584</c:v>
                </c:pt>
                <c:pt idx="335">
                  <c:v>-7.2693150074691806</c:v>
                </c:pt>
                <c:pt idx="336">
                  <c:v>-8.0352436124732005</c:v>
                </c:pt>
                <c:pt idx="337">
                  <c:v>-8.8000679068803382</c:v>
                </c:pt>
                <c:pt idx="338">
                  <c:v>-9.5637828030985137</c:v>
                </c:pt>
                <c:pt idx="339">
                  <c:v>-10.326383384638156</c:v>
                </c:pt>
                <c:pt idx="340">
                  <c:v>-11.087864905135071</c:v>
                </c:pt>
                <c:pt idx="341">
                  <c:v>-11.848222787363662</c:v>
                </c:pt>
                <c:pt idx="342">
                  <c:v>-12.607452622241274</c:v>
                </c:pt>
                <c:pt idx="343">
                  <c:v>-13.365550167823816</c:v>
                </c:pt>
                <c:pt idx="344">
                  <c:v>-14.12251134829312</c:v>
                </c:pt>
                <c:pt idx="345">
                  <c:v>-14.878332252936261</c:v>
                </c:pt>
                <c:pt idx="346">
                  <c:v>-15.633009135117419</c:v>
                </c:pt>
                <c:pt idx="347">
                  <c:v>-16.386538411242313</c:v>
                </c:pt>
                <c:pt idx="348">
                  <c:v>-17.120977089481055</c:v>
                </c:pt>
                <c:pt idx="349">
                  <c:v>-17.836349883756391</c:v>
                </c:pt>
                <c:pt idx="350">
                  <c:v>-18.55062294583032</c:v>
                </c:pt>
                <c:pt idx="351">
                  <c:v>-19.263793843796435</c:v>
                </c:pt>
                <c:pt idx="352">
                  <c:v>-19.975860287881176</c:v>
                </c:pt>
                <c:pt idx="353">
                  <c:v>-20.686820129465239</c:v>
                </c:pt>
                <c:pt idx="354">
                  <c:v>-21.396671360101227</c:v>
                </c:pt>
                <c:pt idx="355">
                  <c:v>-22.105412110527791</c:v>
                </c:pt>
                <c:pt idx="356">
                  <c:v>-22.813040649680701</c:v>
                </c:pt>
                <c:pt idx="357">
                  <c:v>-23.51955538370089</c:v>
                </c:pt>
                <c:pt idx="358">
                  <c:v>-24.224954854939874</c:v>
                </c:pt>
                <c:pt idx="359">
                  <c:v>-24.929237740962805</c:v>
                </c:pt>
                <c:pt idx="360">
                  <c:v>-25.259314903343199</c:v>
                </c:pt>
                <c:pt idx="361">
                  <c:v>-25.21581727246182</c:v>
                </c:pt>
                <c:pt idx="362">
                  <c:v>-25.172461765965977</c:v>
                </c:pt>
                <c:pt idx="363">
                  <c:v>-25.129247770242443</c:v>
                </c:pt>
                <c:pt idx="364">
                  <c:v>-25.086174675022743</c:v>
                </c:pt>
                <c:pt idx="365">
                  <c:v>-25.043241873361133</c:v>
                </c:pt>
                <c:pt idx="366">
                  <c:v>-25.000448761612855</c:v>
                </c:pt>
                <c:pt idx="367">
                  <c:v>-24.957794739412456</c:v>
                </c:pt>
                <c:pt idx="368">
                  <c:v>-24.915279209652333</c:v>
                </c:pt>
                <c:pt idx="369">
                  <c:v>-24.872901578461438</c:v>
                </c:pt>
                <c:pt idx="370">
                  <c:v>-24.830661255184111</c:v>
                </c:pt>
                <c:pt idx="371">
                  <c:v>-24.788557652359135</c:v>
                </c:pt>
                <c:pt idx="372">
                  <c:v>-24.746590185698878</c:v>
                </c:pt>
                <c:pt idx="373">
                  <c:v>-24.704758274068631</c:v>
                </c:pt>
                <c:pt idx="374">
                  <c:v>-24.663061339466157</c:v>
                </c:pt>
                <c:pt idx="375">
                  <c:v>-24.621498807001252</c:v>
                </c:pt>
                <c:pt idx="376">
                  <c:v>-24.580070104875631</c:v>
                </c:pt>
                <c:pt idx="377">
                  <c:v>-24.538774664362823</c:v>
                </c:pt>
                <c:pt idx="378">
                  <c:v>-24.497611919788337</c:v>
                </c:pt>
                <c:pt idx="379">
                  <c:v>-24.456581308509882</c:v>
                </c:pt>
                <c:pt idx="380">
                  <c:v>-24.415682270897776</c:v>
                </c:pt>
                <c:pt idx="381">
                  <c:v>-24.374914250315541</c:v>
                </c:pt>
                <c:pt idx="382">
                  <c:v>-24.334276693100559</c:v>
                </c:pt>
                <c:pt idx="383">
                  <c:v>-24.293769048544945</c:v>
                </c:pt>
                <c:pt idx="384">
                  <c:v>-24.253390768876528</c:v>
                </c:pt>
                <c:pt idx="385">
                  <c:v>-24.213141309240029</c:v>
                </c:pt>
                <c:pt idx="386">
                  <c:v>-24.173020127678257</c:v>
                </c:pt>
                <c:pt idx="387">
                  <c:v>-24.13302668511362</c:v>
                </c:pt>
                <c:pt idx="388">
                  <c:v>-24.093160445329602</c:v>
                </c:pt>
                <c:pt idx="389">
                  <c:v>-24.053420874952508</c:v>
                </c:pt>
                <c:pt idx="390">
                  <c:v>-24.013807443433279</c:v>
                </c:pt>
                <c:pt idx="391">
                  <c:v>-23.974319623029452</c:v>
                </c:pt>
                <c:pt idx="392">
                  <c:v>-23.934956888787283</c:v>
                </c:pt>
                <c:pt idx="393">
                  <c:v>-23.895718718523938</c:v>
                </c:pt>
                <c:pt idx="394">
                  <c:v>-23.856604592809944</c:v>
                </c:pt>
                <c:pt idx="395">
                  <c:v>-23.817613994951579</c:v>
                </c:pt>
                <c:pt idx="396">
                  <c:v>-23.778746410973582</c:v>
                </c:pt>
                <c:pt idx="397">
                  <c:v>-23.740001329601892</c:v>
                </c:pt>
                <c:pt idx="398">
                  <c:v>-23.701378242246509</c:v>
                </c:pt>
                <c:pt idx="399">
                  <c:v>-23.662876642984514</c:v>
                </c:pt>
                <c:pt idx="400">
                  <c:v>-23.624496028543234</c:v>
                </c:pt>
                <c:pt idx="401">
                  <c:v>-23.586235898283469</c:v>
                </c:pt>
                <c:pt idx="402">
                  <c:v>-23.207626715457529</c:v>
                </c:pt>
                <c:pt idx="403">
                  <c:v>-22.840723089186248</c:v>
                </c:pt>
                <c:pt idx="404">
                  <c:v>-22.485052351105175</c:v>
                </c:pt>
                <c:pt idx="405">
                  <c:v>-22.140165754136575</c:v>
                </c:pt>
                <c:pt idx="406">
                  <c:v>-21.805637023975926</c:v>
                </c:pt>
                <c:pt idx="407">
                  <c:v>-21.481061012133949</c:v>
                </c:pt>
                <c:pt idx="408">
                  <c:v>-21.166052442437763</c:v>
                </c:pt>
                <c:pt idx="409">
                  <c:v>-20.860244743614761</c:v>
                </c:pt>
                <c:pt idx="410">
                  <c:v>-20.563288961231898</c:v>
                </c:pt>
                <c:pt idx="411">
                  <c:v>-20.274852742849461</c:v>
                </c:pt>
                <c:pt idx="412">
                  <c:v>-19.994619390778038</c:v>
                </c:pt>
                <c:pt idx="413">
                  <c:v>-19.722286977306666</c:v>
                </c:pt>
                <c:pt idx="414">
                  <c:v>-19.457567517704209</c:v>
                </c:pt>
                <c:pt idx="415">
                  <c:v>-19.200186196689419</c:v>
                </c:pt>
                <c:pt idx="416">
                  <c:v>-18.949880644422247</c:v>
                </c:pt>
                <c:pt idx="417">
                  <c:v>-18.706400258392897</c:v>
                </c:pt>
                <c:pt idx="418">
                  <c:v>-18.469505567880191</c:v>
                </c:pt>
                <c:pt idx="419">
                  <c:v>-18.238967637918584</c:v>
                </c:pt>
                <c:pt idx="420">
                  <c:v>-18.014567509957672</c:v>
                </c:pt>
                <c:pt idx="421">
                  <c:v>-17.796095676620205</c:v>
                </c:pt>
                <c:pt idx="422">
                  <c:v>-17.583351588167844</c:v>
                </c:pt>
                <c:pt idx="423">
                  <c:v>-17.376143188469054</c:v>
                </c:pt>
                <c:pt idx="424">
                  <c:v>-17.174286478432627</c:v>
                </c:pt>
                <c:pt idx="425">
                  <c:v>-16.977605105025312</c:v>
                </c:pt>
                <c:pt idx="426">
                  <c:v>-16.785929974133211</c:v>
                </c:pt>
                <c:pt idx="427">
                  <c:v>-16.599098885656399</c:v>
                </c:pt>
                <c:pt idx="428">
                  <c:v>-16.416956189344738</c:v>
                </c:pt>
                <c:pt idx="429">
                  <c:v>-16.239352459991558</c:v>
                </c:pt>
                <c:pt idx="430">
                  <c:v>-16.066144190701678</c:v>
                </c:pt>
                <c:pt idx="431">
                  <c:v>-15.897193503041684</c:v>
                </c:pt>
                <c:pt idx="432">
                  <c:v>-15.732367872964119</c:v>
                </c:pt>
                <c:pt idx="433">
                  <c:v>-15.571539871474579</c:v>
                </c:pt>
                <c:pt idx="434">
                  <c:v>-15.414586919081218</c:v>
                </c:pt>
                <c:pt idx="435">
                  <c:v>-15.26139105313122</c:v>
                </c:pt>
                <c:pt idx="436">
                  <c:v>-15.111838707198437</c:v>
                </c:pt>
                <c:pt idx="437">
                  <c:v>-14.965820501741202</c:v>
                </c:pt>
                <c:pt idx="438">
                  <c:v>-14.823231045299483</c:v>
                </c:pt>
                <c:pt idx="439">
                  <c:v>-14.683968745546872</c:v>
                </c:pt>
                <c:pt idx="440">
                  <c:v>-14.547935629554944</c:v>
                </c:pt>
                <c:pt idx="441">
                  <c:v>-14.415037172666509</c:v>
                </c:pt>
                <c:pt idx="442">
                  <c:v>-14.285182135409434</c:v>
                </c:pt>
                <c:pt idx="443">
                  <c:v>-14.158282407915237</c:v>
                </c:pt>
                <c:pt idx="444">
                  <c:v>-14.034252861335933</c:v>
                </c:pt>
                <c:pt idx="445">
                  <c:v>-13.913011205779446</c:v>
                </c:pt>
                <c:pt idx="446">
                  <c:v>-13.79447785430791</c:v>
                </c:pt>
                <c:pt idx="447">
                  <c:v>-13.678575792565002</c:v>
                </c:pt>
                <c:pt idx="448">
                  <c:v>-13.565230453617712</c:v>
                </c:pt>
                <c:pt idx="449">
                  <c:v>-13.454369597615178</c:v>
                </c:pt>
                <c:pt idx="450">
                  <c:v>-13.345923195882145</c:v>
                </c:pt>
                <c:pt idx="451">
                  <c:v>-13.23982331907748</c:v>
                </c:pt>
                <c:pt idx="452">
                  <c:v>-13.136004029058942</c:v>
                </c:pt>
                <c:pt idx="453">
                  <c:v>-13.034401274104184</c:v>
                </c:pt>
                <c:pt idx="454">
                  <c:v>-12.934952787144603</c:v>
                </c:pt>
                <c:pt idx="455">
                  <c:v>-12.837597986673229</c:v>
                </c:pt>
                <c:pt idx="456">
                  <c:v>-12.742277879990359</c:v>
                </c:pt>
                <c:pt idx="457">
                  <c:v>-12.64893496845081</c:v>
                </c:pt>
                <c:pt idx="458">
                  <c:v>-12.557513154374739</c:v>
                </c:pt>
                <c:pt idx="459">
                  <c:v>-12.467957649279485</c:v>
                </c:pt>
                <c:pt idx="460">
                  <c:v>-12.380214883082854</c:v>
                </c:pt>
                <c:pt idx="461">
                  <c:v>-12.294232413918664</c:v>
                </c:pt>
                <c:pt idx="462">
                  <c:v>-12.209958838192561</c:v>
                </c:pt>
                <c:pt idx="463">
                  <c:v>-12.127343700490204</c:v>
                </c:pt>
                <c:pt idx="464">
                  <c:v>-12.046337402930618</c:v>
                </c:pt>
                <c:pt idx="465">
                  <c:v>-11.966891113534034</c:v>
                </c:pt>
                <c:pt idx="466">
                  <c:v>-11.888956673146062</c:v>
                </c:pt>
                <c:pt idx="467">
                  <c:v>-11.812486500427475</c:v>
                </c:pt>
                <c:pt idx="468">
                  <c:v>-11.737433494381325</c:v>
                </c:pt>
                <c:pt idx="469">
                  <c:v>-11.663750933845108</c:v>
                </c:pt>
                <c:pt idx="470">
                  <c:v>-11.591392373325231</c:v>
                </c:pt>
                <c:pt idx="471">
                  <c:v>-11.520311534492787</c:v>
                </c:pt>
                <c:pt idx="472">
                  <c:v>-11.450462192592658</c:v>
                </c:pt>
                <c:pt idx="473">
                  <c:v>-11.381798056941092</c:v>
                </c:pt>
                <c:pt idx="474">
                  <c:v>-11.314272644598873</c:v>
                </c:pt>
                <c:pt idx="475">
                  <c:v>-11.247839146206086</c:v>
                </c:pt>
                <c:pt idx="476">
                  <c:v>-11.182450282848805</c:v>
                </c:pt>
                <c:pt idx="477">
                  <c:v>-11.118058152695369</c:v>
                </c:pt>
                <c:pt idx="478">
                  <c:v>-11.054614065987801</c:v>
                </c:pt>
                <c:pt idx="479">
                  <c:v>-10.992068366799554</c:v>
                </c:pt>
                <c:pt idx="480">
                  <c:v>-10.930370239770619</c:v>
                </c:pt>
                <c:pt idx="481">
                  <c:v>-10.869467499801067</c:v>
                </c:pt>
                <c:pt idx="482">
                  <c:v>-10.809306362420022</c:v>
                </c:pt>
                <c:pt idx="483">
                  <c:v>-10.749831192243068</c:v>
                </c:pt>
                <c:pt idx="484">
                  <c:v>-10.690984226581156</c:v>
                </c:pt>
                <c:pt idx="485">
                  <c:v>-10.632705270860882</c:v>
                </c:pt>
                <c:pt idx="486">
                  <c:v>-10.574931362050817</c:v>
                </c:pt>
                <c:pt idx="487">
                  <c:v>-10.517596395751523</c:v>
                </c:pt>
                <c:pt idx="488">
                  <c:v>-10.460630711986303</c:v>
                </c:pt>
                <c:pt idx="489">
                  <c:v>-10.403960634012103</c:v>
                </c:pt>
                <c:pt idx="490">
                  <c:v>-10.347507953639202</c:v>
                </c:pt>
                <c:pt idx="491">
                  <c:v>-10.291189355586479</c:v>
                </c:pt>
                <c:pt idx="492">
                  <c:v>-10.234915772284234</c:v>
                </c:pt>
                <c:pt idx="493">
                  <c:v>-10.17859165924458</c:v>
                </c:pt>
                <c:pt idx="494">
                  <c:v>-10.12211417962147</c:v>
                </c:pt>
                <c:pt idx="495">
                  <c:v>-10.065372284846219</c:v>
                </c:pt>
                <c:pt idx="496">
                  <c:v>-10.008245676212429</c:v>
                </c:pt>
                <c:pt idx="497">
                  <c:v>-9.9506036299552996</c:v>
                </c:pt>
                <c:pt idx="498">
                  <c:v>-9.8923036656771881</c:v>
                </c:pt>
                <c:pt idx="499">
                  <c:v>-9.8331900348638737</c:v>
                </c:pt>
                <c:pt idx="500">
                  <c:v>-9.7730920026595012</c:v>
                </c:pt>
                <c:pt idx="501">
                  <c:v>-9.7118218919678956</c:v>
                </c:pt>
                <c:pt idx="502">
                  <c:v>-9.6491728542699811</c:v>
                </c:pt>
                <c:pt idx="503">
                  <c:v>-9.5849163262469954</c:v>
                </c:pt>
                <c:pt idx="504">
                  <c:v>-9.5187991253484974</c:v>
                </c:pt>
                <c:pt idx="505">
                  <c:v>-9.4505401308467416</c:v>
                </c:pt>
                <c:pt idx="506">
                  <c:v>-9.3798264897313217</c:v>
                </c:pt>
                <c:pt idx="507">
                  <c:v>-9.3063092791612299</c:v>
                </c:pt>
                <c:pt idx="508">
                  <c:v>-9.229598549380464</c:v>
                </c:pt>
                <c:pt idx="509">
                  <c:v>-9.149257663492623</c:v>
                </c:pt>
                <c:pt idx="510">
                  <c:v>-9.0647968440566515</c:v>
                </c:pt>
                <c:pt idx="511">
                  <c:v>-8.9756658323281915</c:v>
                </c:pt>
                <c:pt idx="512">
                  <c:v>-8.8812455659891381</c:v>
                </c:pt>
                <c:pt idx="513">
                  <c:v>-8.7808387881594587</c:v>
                </c:pt>
                <c:pt idx="514">
                  <c:v>-8.6736595184405285</c:v>
                </c:pt>
                <c:pt idx="515">
                  <c:v>-8.5588213515593399</c:v>
                </c:pt>
                <c:pt idx="516">
                  <c:v>-8.435324609160876</c:v>
                </c:pt>
                <c:pt idx="517">
                  <c:v>-8.3020424669360935</c:v>
                </c:pt>
                <c:pt idx="518">
                  <c:v>-8.157706328170752</c:v>
                </c:pt>
                <c:pt idx="519">
                  <c:v>-8.0008909364832022</c:v>
                </c:pt>
                <c:pt idx="520">
                  <c:v>-7.8300000409478168</c:v>
                </c:pt>
                <c:pt idx="521">
                  <c:v>-7.6432538769376963</c:v>
                </c:pt>
                <c:pt idx="522">
                  <c:v>-7.4386803393967682</c:v>
                </c:pt>
                <c:pt idx="523">
                  <c:v>-7.2141125317855455</c:v>
                </c:pt>
                <c:pt idx="524">
                  <c:v>-6.9671963873710379</c:v>
                </c:pt>
                <c:pt idx="525">
                  <c:v>-6.6954132549621557</c:v>
                </c:pt>
                <c:pt idx="526">
                  <c:v>-6.3961236191685096</c:v>
                </c:pt>
                <c:pt idx="527">
                  <c:v>-6.0666392605910682</c:v>
                </c:pt>
                <c:pt idx="528">
                  <c:v>-5.7043317416076471</c:v>
                </c:pt>
                <c:pt idx="529">
                  <c:v>-5.3067844764838279</c:v>
                </c:pt>
                <c:pt idx="530">
                  <c:v>-4.8719929195984486</c:v>
                </c:pt>
                <c:pt idx="531">
                  <c:v>-4.398611583387436</c:v>
                </c:pt>
                <c:pt idx="532">
                  <c:v>-3.886236925129916</c:v>
                </c:pt>
                <c:pt idx="533">
                  <c:v>-3.3357017489172081</c:v>
                </c:pt>
                <c:pt idx="534">
                  <c:v>-2.7493414928227708</c:v>
                </c:pt>
                <c:pt idx="535">
                  <c:v>-2.1311797755062187</c:v>
                </c:pt>
                <c:pt idx="536">
                  <c:v>-1.48697606099061</c:v>
                </c:pt>
                <c:pt idx="537">
                  <c:v>-0.82408858833686016</c:v>
                </c:pt>
                <c:pt idx="538">
                  <c:v>-0.15113375810086838</c:v>
                </c:pt>
                <c:pt idx="539">
                  <c:v>0.52253499371339274</c:v>
                </c:pt>
                <c:pt idx="540">
                  <c:v>1.1874619149191925</c:v>
                </c:pt>
                <c:pt idx="541">
                  <c:v>1.8347400583685025</c:v>
                </c:pt>
                <c:pt idx="542">
                  <c:v>2.4565770599055914</c:v>
                </c:pt>
                <c:pt idx="543">
                  <c:v>3.0466968949510762</c:v>
                </c:pt>
                <c:pt idx="544">
                  <c:v>3.6005402339562398</c:v>
                </c:pt>
                <c:pt idx="545">
                  <c:v>4.1152701219911529</c:v>
                </c:pt>
                <c:pt idx="546">
                  <c:v>4.5896229670562692</c:v>
                </c:pt>
                <c:pt idx="547">
                  <c:v>5.0236606834918405</c:v>
                </c:pt>
                <c:pt idx="548">
                  <c:v>5.4184793789263583</c:v>
                </c:pt>
                <c:pt idx="549">
                  <c:v>5.7759188890413267</c:v>
                </c:pt>
                <c:pt idx="550">
                  <c:v>6.0983023018598876</c:v>
                </c:pt>
                <c:pt idx="551">
                  <c:v>6.3882202894726046</c:v>
                </c:pt>
                <c:pt idx="552">
                  <c:v>6.648364117993764</c:v>
                </c:pt>
                <c:pt idx="553">
                  <c:v>6.8814042148131653</c:v>
                </c:pt>
                <c:pt idx="554">
                  <c:v>7.0899075765835713</c:v>
                </c:pt>
                <c:pt idx="555">
                  <c:v>7.2762861247548249</c:v>
                </c:pt>
                <c:pt idx="556">
                  <c:v>7.4427684063732169</c:v>
                </c:pt>
                <c:pt idx="557">
                  <c:v>7.5913880620274377</c:v>
                </c:pt>
                <c:pt idx="558">
                  <c:v>7.7239837552227923</c:v>
                </c:pt>
                <c:pt idx="559">
                  <c:v>7.8422065001940613</c:v>
                </c:pt>
                <c:pt idx="560">
                  <c:v>7.9475314053670756</c:v>
                </c:pt>
                <c:pt idx="561">
                  <c:v>8.0412717238304978</c:v>
                </c:pt>
                <c:pt idx="562">
                  <c:v>8.1245937751793775</c:v>
                </c:pt>
                <c:pt idx="563">
                  <c:v>8.1985318018263058</c:v>
                </c:pt>
                <c:pt idx="564">
                  <c:v>8.2640021809079247</c:v>
                </c:pt>
                <c:pt idx="565">
                  <c:v>8.3218166626098462</c:v>
                </c:pt>
                <c:pt idx="566">
                  <c:v>8.3726944748817864</c:v>
                </c:pt>
                <c:pt idx="567">
                  <c:v>8.417273245422658</c:v>
                </c:pt>
                <c:pt idx="568">
                  <c:v>8.4561187616067581</c:v>
                </c:pt>
                <c:pt idx="569">
                  <c:v>8.4897336304271569</c:v>
                </c:pt>
                <c:pt idx="570">
                  <c:v>8.518564922783133</c:v>
                </c:pt>
                <c:pt idx="571">
                  <c:v>8.5430108960940583</c:v>
                </c:pt>
                <c:pt idx="572">
                  <c:v>8.5634268908587234</c:v>
                </c:pt>
                <c:pt idx="573">
                  <c:v>8.5801304935337193</c:v>
                </c:pt>
                <c:pt idx="574">
                  <c:v>8.5934060520891826</c:v>
                </c:pt>
                <c:pt idx="575">
                  <c:v>8.6035086232067108</c:v>
                </c:pt>
                <c:pt idx="576">
                  <c:v>8.6106674222065145</c:v>
                </c:pt>
                <c:pt idx="577">
                  <c:v>8.6150888389831319</c:v>
                </c:pt>
                <c:pt idx="578">
                  <c:v>8.6169590758161334</c:v>
                </c:pt>
                <c:pt idx="579">
                  <c:v>8.6164464560794283</c:v>
                </c:pt>
                <c:pt idx="580">
                  <c:v>8.6137034466760092</c:v>
                </c:pt>
                <c:pt idx="581">
                  <c:v>8.6088684314901105</c:v>
                </c:pt>
                <c:pt idx="582">
                  <c:v>8.6020672682542152</c:v>
                </c:pt>
                <c:pt idx="583">
                  <c:v>8.5934146569317171</c:v>
                </c:pt>
                <c:pt idx="584">
                  <c:v>8.5830153439649504</c:v>
                </c:pt>
                <c:pt idx="585">
                  <c:v>8.5709651834767193</c:v>
                </c:pt>
                <c:pt idx="586">
                  <c:v>8.5573520736856867</c:v>
                </c:pt>
                <c:pt idx="587">
                  <c:v>8.5422567843498243</c:v>
                </c:pt>
                <c:pt idx="588">
                  <c:v>8.5257536889387247</c:v>
                </c:pt>
                <c:pt idx="589">
                  <c:v>8.5079114134117688</c:v>
                </c:pt>
                <c:pt idx="590">
                  <c:v>8.4887934119056592</c:v>
                </c:pt>
                <c:pt idx="591">
                  <c:v>8.468458478277757</c:v>
                </c:pt>
                <c:pt idx="592">
                  <c:v>8.4469612012810291</c:v>
                </c:pt>
                <c:pt idx="593">
                  <c:v>8.4243523701360932</c:v>
                </c:pt>
                <c:pt idx="594">
                  <c:v>8.4006793363937202</c:v>
                </c:pt>
                <c:pt idx="595">
                  <c:v>8.375986337227463</c:v>
                </c:pt>
                <c:pt idx="596">
                  <c:v>8.3503147846444339</c:v>
                </c:pt>
                <c:pt idx="597">
                  <c:v>8.3237035245382458</c:v>
                </c:pt>
                <c:pt idx="598">
                  <c:v>8.2961890690193894</c:v>
                </c:pt>
                <c:pt idx="599">
                  <c:v>8.267805805034568</c:v>
                </c:pt>
                <c:pt idx="600">
                  <c:v>8.2385861819184338</c:v>
                </c:pt>
                <c:pt idx="601">
                  <c:v>8.2085608802012366</c:v>
                </c:pt>
                <c:pt idx="602">
                  <c:v>8.1777589637174479</c:v>
                </c:pt>
                <c:pt idx="603">
                  <c:v>8.1462080168178019</c:v>
                </c:pt>
                <c:pt idx="604">
                  <c:v>8.1139342682753295</c:v>
                </c:pt>
                <c:pt idx="605">
                  <c:v>8.0809627032911351</c:v>
                </c:pt>
                <c:pt idx="606">
                  <c:v>8.0473171648436921</c:v>
                </c:pt>
                <c:pt idx="607">
                  <c:v>8.0130204454837894</c:v>
                </c:pt>
                <c:pt idx="608">
                  <c:v>7.9780943705529355</c:v>
                </c:pt>
                <c:pt idx="609">
                  <c:v>7.9425598736937868</c:v>
                </c:pt>
                <c:pt idx="610">
                  <c:v>7.9064370654252825</c:v>
                </c:pt>
                <c:pt idx="611">
                  <c:v>7.8697452954705573</c:v>
                </c:pt>
                <c:pt idx="612">
                  <c:v>7.8325032094513123</c:v>
                </c:pt>
                <c:pt idx="613">
                  <c:v>7.7947288004964683</c:v>
                </c:pt>
                <c:pt idx="614">
                  <c:v>7.7564394562548262</c:v>
                </c:pt>
                <c:pt idx="615">
                  <c:v>7.7176520017501673</c:v>
                </c:pt>
                <c:pt idx="616">
                  <c:v>7.678382738471452</c:v>
                </c:pt>
                <c:pt idx="617">
                  <c:v>7.6386474800505608</c:v>
                </c:pt>
                <c:pt idx="618">
                  <c:v>7.5984615848440367</c:v>
                </c:pt>
                <c:pt idx="619">
                  <c:v>7.5578399857034126</c:v>
                </c:pt>
                <c:pt idx="620">
                  <c:v>7.5167972171902573</c:v>
                </c:pt>
                <c:pt idx="621">
                  <c:v>7.4753474404668481</c:v>
                </c:pt>
                <c:pt idx="622">
                  <c:v>7.4335044660706986</c:v>
                </c:pt>
                <c:pt idx="623">
                  <c:v>7.3912817747610404</c:v>
                </c:pt>
                <c:pt idx="624">
                  <c:v>7.3486925366072899</c:v>
                </c:pt>
                <c:pt idx="625">
                  <c:v>7.3057496284734711</c:v>
                </c:pt>
                <c:pt idx="626">
                  <c:v>7.2624656500378677</c:v>
                </c:pt>
                <c:pt idx="627">
                  <c:v>7.21885293847446</c:v>
                </c:pt>
                <c:pt idx="628">
                  <c:v>7.1749235819108481</c:v>
                </c:pt>
                <c:pt idx="629">
                  <c:v>7.1306894317669229</c:v>
                </c:pt>
                <c:pt idx="630">
                  <c:v>7.0861621140691362</c:v>
                </c:pt>
                <c:pt idx="631">
                  <c:v>7.0413530398266619</c:v>
                </c:pt>
                <c:pt idx="632">
                  <c:v>6.9962734145481207</c:v>
                </c:pt>
                <c:pt idx="633">
                  <c:v>6.9509342469705686</c:v>
                </c:pt>
                <c:pt idx="634">
                  <c:v>6.9053463570662199</c:v>
                </c:pt>
                <c:pt idx="635">
                  <c:v>6.8595203833866769</c:v>
                </c:pt>
                <c:pt idx="636">
                  <c:v>6.813466789799369</c:v>
                </c:pt>
                <c:pt idx="637">
                  <c:v>6.7671958716662033</c:v>
                </c:pt>
                <c:pt idx="638">
                  <c:v>6.7207177615102331</c:v>
                </c:pt>
                <c:pt idx="639">
                  <c:v>6.6740424342122964</c:v>
                </c:pt>
                <c:pt idx="640">
                  <c:v>6.6271797117761722</c:v>
                </c:pt>
                <c:pt idx="641">
                  <c:v>6.5801392676975503</c:v>
                </c:pt>
                <c:pt idx="642">
                  <c:v>6.5329306309692328</c:v>
                </c:pt>
                <c:pt idx="643">
                  <c:v>6.485563189752459</c:v>
                </c:pt>
                <c:pt idx="644">
                  <c:v>6.4380461947417036</c:v>
                </c:pt>
                <c:pt idx="645">
                  <c:v>6.3903887622482216</c:v>
                </c:pt>
                <c:pt idx="646">
                  <c:v>6.3425998770255756</c:v>
                </c:pt>
                <c:pt idx="647">
                  <c:v>6.2946883948585164</c:v>
                </c:pt>
                <c:pt idx="648">
                  <c:v>6.2466630449349907</c:v>
                </c:pt>
                <c:pt idx="649">
                  <c:v>6.1985324320194142</c:v>
                </c:pt>
                <c:pt idx="650">
                  <c:v>6.15030503844409</c:v>
                </c:pt>
                <c:pt idx="651">
                  <c:v>6.1019892259341528</c:v>
                </c:pt>
                <c:pt idx="652">
                  <c:v>6.0535932372804657</c:v>
                </c:pt>
                <c:pt idx="653">
                  <c:v>6.005125197873598</c:v>
                </c:pt>
                <c:pt idx="654">
                  <c:v>5.9565931171111908</c:v>
                </c:pt>
                <c:pt idx="655">
                  <c:v>5.9080048896899218</c:v>
                </c:pt>
                <c:pt idx="656">
                  <c:v>5.8593682967925895</c:v>
                </c:pt>
                <c:pt idx="657">
                  <c:v>5.8106910071799192</c:v>
                </c:pt>
                <c:pt idx="658">
                  <c:v>5.7619805781960896</c:v>
                </c:pt>
                <c:pt idx="659">
                  <c:v>5.7132444566961933</c:v>
                </c:pt>
                <c:pt idx="660">
                  <c:v>5.6644899799033226</c:v>
                </c:pt>
                <c:pt idx="661">
                  <c:v>5.6157243762023423</c:v>
                </c:pt>
                <c:pt idx="662">
                  <c:v>5.5669547658769005</c:v>
                </c:pt>
                <c:pt idx="663">
                  <c:v>5.5181881617957833</c:v>
                </c:pt>
                <c:pt idx="664">
                  <c:v>5.4694314700541442</c:v>
                </c:pt>
                <c:pt idx="665">
                  <c:v>5.4206914905748684</c:v>
                </c:pt>
                <c:pt idx="666">
                  <c:v>5.3719749176748319</c:v>
                </c:pt>
                <c:pt idx="667">
                  <c:v>5.3232883406005103</c:v>
                </c:pt>
                <c:pt idx="668">
                  <c:v>5.2746382440370132</c:v>
                </c:pt>
                <c:pt idx="669">
                  <c:v>5.2260310085943553</c:v>
                </c:pt>
                <c:pt idx="670">
                  <c:v>5.177472911274446</c:v>
                </c:pt>
                <c:pt idx="671">
                  <c:v>5.1289701259220104</c:v>
                </c:pt>
                <c:pt idx="672">
                  <c:v>5.080528723662427</c:v>
                </c:pt>
                <c:pt idx="673">
                  <c:v>5.0321546733292175</c:v>
                </c:pt>
                <c:pt idx="674">
                  <c:v>4.9838538418836835</c:v>
                </c:pt>
                <c:pt idx="675">
                  <c:v>4.9356319948290412</c:v>
                </c:pt>
                <c:pt idx="676">
                  <c:v>4.8874947966211177</c:v>
                </c:pt>
                <c:pt idx="677">
                  <c:v>4.8394478110776014</c:v>
                </c:pt>
                <c:pt idx="678">
                  <c:v>4.7914965017876039</c:v>
                </c:pt>
                <c:pt idx="679">
                  <c:v>4.7436462325231554</c:v>
                </c:pt>
                <c:pt idx="680">
                  <c:v>4.6959022676540743</c:v>
                </c:pt>
                <c:pt idx="681">
                  <c:v>4.6482697725676489</c:v>
                </c:pt>
                <c:pt idx="682">
                  <c:v>4.6007538140942064</c:v>
                </c:pt>
                <c:pt idx="683">
                  <c:v>4.553359360939778</c:v>
                </c:pt>
                <c:pt idx="684">
                  <c:v>4.5060912841268115</c:v>
                </c:pt>
                <c:pt idx="685">
                  <c:v>4.4589543574437567</c:v>
                </c:pt>
                <c:pt idx="686">
                  <c:v>4.4119532579044076</c:v>
                </c:pt>
                <c:pt idx="687">
                  <c:v>4.3650925662175926</c:v>
                </c:pt>
                <c:pt idx="688">
                  <c:v>4.3183767672678925</c:v>
                </c:pt>
                <c:pt idx="689">
                  <c:v>4.2718102506079054</c:v>
                </c:pt>
                <c:pt idx="690">
                  <c:v>4.2253973109624354</c:v>
                </c:pt>
                <c:pt idx="691">
                  <c:v>4.1791421487451457</c:v>
                </c:pt>
                <c:pt idx="692">
                  <c:v>4.1330488705878246</c:v>
                </c:pt>
                <c:pt idx="693">
                  <c:v>4.0871214898826409</c:v>
                </c:pt>
                <c:pt idx="694">
                  <c:v>4.0413639273375708</c:v>
                </c:pt>
                <c:pt idx="695">
                  <c:v>3.9957800115450999</c:v>
                </c:pt>
                <c:pt idx="696">
                  <c:v>3.9503734795643597</c:v>
                </c:pt>
                <c:pt idx="697">
                  <c:v>3.9051479775167381</c:v>
                </c:pt>
                <c:pt idx="698">
                  <c:v>3.8601070611949559</c:v>
                </c:pt>
                <c:pt idx="699">
                  <c:v>3.8152541966856104</c:v>
                </c:pt>
                <c:pt idx="700">
                  <c:v>3.770592761005112</c:v>
                </c:pt>
                <c:pt idx="701">
                  <c:v>3.7261260427489313</c:v>
                </c:pt>
                <c:pt idx="702">
                  <c:v>3.6818572427539937</c:v>
                </c:pt>
                <c:pt idx="703">
                  <c:v>3.6377894747741104</c:v>
                </c:pt>
                <c:pt idx="704">
                  <c:v>3.5939257661682182</c:v>
                </c:pt>
                <c:pt idx="705">
                  <c:v>3.5502690586012617</c:v>
                </c:pt>
                <c:pt idx="706">
                  <c:v>3.5068222087574288</c:v>
                </c:pt>
                <c:pt idx="707">
                  <c:v>3.4635879890655428</c:v>
                </c:pt>
                <c:pt idx="708">
                  <c:v>3.4205690884362996</c:v>
                </c:pt>
                <c:pt idx="709">
                  <c:v>3.3777681130110917</c:v>
                </c:pt>
                <c:pt idx="710">
                  <c:v>3.3351875869220384</c:v>
                </c:pt>
                <c:pt idx="711">
                  <c:v>3.2928299530630154</c:v>
                </c:pt>
                <c:pt idx="712">
                  <c:v>3.2506975738712507</c:v>
                </c:pt>
                <c:pt idx="713">
                  <c:v>3.2087927321191776</c:v>
                </c:pt>
                <c:pt idx="714">
                  <c:v>3.1671176317161702</c:v>
                </c:pt>
                <c:pt idx="715">
                  <c:v>3.1256743985198376</c:v>
                </c:pt>
                <c:pt idx="716">
                  <c:v>3.0844650811564467</c:v>
                </c:pt>
                <c:pt idx="717">
                  <c:v>3.0434916518501103</c:v>
                </c:pt>
                <c:pt idx="718">
                  <c:v>3.0027560072603707</c:v>
                </c:pt>
                <c:pt idx="719">
                  <c:v>2.96225996932775</c:v>
                </c:pt>
                <c:pt idx="720">
                  <c:v>2.9220052861268933</c:v>
                </c:pt>
                <c:pt idx="721">
                  <c:v>2.8819936327269149</c:v>
                </c:pt>
                <c:pt idx="722">
                  <c:v>2.8422266120584574</c:v>
                </c:pt>
                <c:pt idx="723">
                  <c:v>2.8027057557872324</c:v>
                </c:pt>
                <c:pt idx="724">
                  <c:v>2.7634325251933971</c:v>
                </c:pt>
                <c:pt idx="725">
                  <c:v>2.7244083120565765</c:v>
                </c:pt>
                <c:pt idx="726">
                  <c:v>2.6856344395460177</c:v>
                </c:pt>
                <c:pt idx="727">
                  <c:v>2.6471121631154295</c:v>
                </c:pt>
                <c:pt idx="728">
                  <c:v>2.6088426714022237</c:v>
                </c:pt>
                <c:pt idx="729">
                  <c:v>2.5708270871306347</c:v>
                </c:pt>
                <c:pt idx="730">
                  <c:v>2.5330664680184052</c:v>
                </c:pt>
                <c:pt idx="731">
                  <c:v>2.4955618076865482</c:v>
                </c:pt>
                <c:pt idx="732">
                  <c:v>2.4583140365719069</c:v>
                </c:pt>
                <c:pt idx="733">
                  <c:v>2.4213240228419863</c:v>
                </c:pt>
                <c:pt idx="734">
                  <c:v>2.3845925733118003</c:v>
                </c:pt>
                <c:pt idx="735">
                  <c:v>2.3481204343622144</c:v>
                </c:pt>
                <c:pt idx="736">
                  <c:v>2.3119082928595684</c:v>
                </c:pt>
                <c:pt idx="737">
                  <c:v>2.2759567770760532</c:v>
                </c:pt>
                <c:pt idx="738">
                  <c:v>2.2402664576105291</c:v>
                </c:pt>
                <c:pt idx="739">
                  <c:v>2.2402311022531878</c:v>
                </c:pt>
                <c:pt idx="740">
                  <c:v>2.2401957471551084</c:v>
                </c:pt>
                <c:pt idx="741">
                  <c:v>2.2401603923162829</c:v>
                </c:pt>
                <c:pt idx="742">
                  <c:v>2.2401250377367132</c:v>
                </c:pt>
                <c:pt idx="743">
                  <c:v>2.2400896834164126</c:v>
                </c:pt>
                <c:pt idx="744">
                  <c:v>2.2400543293553721</c:v>
                </c:pt>
                <c:pt idx="745">
                  <c:v>2.2400189755535926</c:v>
                </c:pt>
                <c:pt idx="746">
                  <c:v>2.2399836220110734</c:v>
                </c:pt>
                <c:pt idx="747">
                  <c:v>2.2399482687278134</c:v>
                </c:pt>
                <c:pt idx="748">
                  <c:v>2.239912915703826</c:v>
                </c:pt>
                <c:pt idx="749">
                  <c:v>2.2398775629390943</c:v>
                </c:pt>
                <c:pt idx="750">
                  <c:v>2.23984221043363</c:v>
                </c:pt>
                <c:pt idx="751">
                  <c:v>2.2398068581874284</c:v>
                </c:pt>
                <c:pt idx="752">
                  <c:v>2.2397715062004924</c:v>
                </c:pt>
                <c:pt idx="753">
                  <c:v>2.23973615447282</c:v>
                </c:pt>
                <c:pt idx="754">
                  <c:v>2.239700803004415</c:v>
                </c:pt>
                <c:pt idx="755">
                  <c:v>2.2396654517952754</c:v>
                </c:pt>
                <c:pt idx="756">
                  <c:v>2.2396301008454031</c:v>
                </c:pt>
                <c:pt idx="757">
                  <c:v>2.2395947501547937</c:v>
                </c:pt>
                <c:pt idx="758">
                  <c:v>2.2395593997234577</c:v>
                </c:pt>
                <c:pt idx="759">
                  <c:v>2.2395240495513837</c:v>
                </c:pt>
                <c:pt idx="760">
                  <c:v>2.2394886996385903</c:v>
                </c:pt>
                <c:pt idx="761">
                  <c:v>2.239453349985058</c:v>
                </c:pt>
                <c:pt idx="762">
                  <c:v>2.2394180005907893</c:v>
                </c:pt>
                <c:pt idx="763">
                  <c:v>2.239382651455796</c:v>
                </c:pt>
                <c:pt idx="764">
                  <c:v>2.2393473025800752</c:v>
                </c:pt>
                <c:pt idx="765">
                  <c:v>2.2393119539636235</c:v>
                </c:pt>
                <c:pt idx="766">
                  <c:v>2.239276605606447</c:v>
                </c:pt>
                <c:pt idx="767">
                  <c:v>2.2392412575085316</c:v>
                </c:pt>
                <c:pt idx="768">
                  <c:v>2.2392059096698951</c:v>
                </c:pt>
                <c:pt idx="769">
                  <c:v>2.2391705620905356</c:v>
                </c:pt>
                <c:pt idx="770">
                  <c:v>2.2391352147704477</c:v>
                </c:pt>
                <c:pt idx="771">
                  <c:v>2.2390998677096254</c:v>
                </c:pt>
                <c:pt idx="772">
                  <c:v>2.2390645209080864</c:v>
                </c:pt>
                <c:pt idx="773">
                  <c:v>2.2390291743658182</c:v>
                </c:pt>
                <c:pt idx="774">
                  <c:v>2.238993828082827</c:v>
                </c:pt>
                <c:pt idx="775">
                  <c:v>2.2389584820591031</c:v>
                </c:pt>
                <c:pt idx="776">
                  <c:v>2.2389231362946624</c:v>
                </c:pt>
                <c:pt idx="777">
                  <c:v>2.2388877907894997</c:v>
                </c:pt>
                <c:pt idx="778">
                  <c:v>2.2388524455436078</c:v>
                </c:pt>
                <c:pt idx="779">
                  <c:v>2.2388171005570001</c:v>
                </c:pt>
                <c:pt idx="780">
                  <c:v>2.238781755829665</c:v>
                </c:pt>
                <c:pt idx="781">
                  <c:v>2.2387464113616122</c:v>
                </c:pt>
                <c:pt idx="782">
                  <c:v>2.2387110671528374</c:v>
                </c:pt>
                <c:pt idx="783">
                  <c:v>2.2386757232033361</c:v>
                </c:pt>
                <c:pt idx="784">
                  <c:v>2.2386403795131216</c:v>
                </c:pt>
                <c:pt idx="785">
                  <c:v>2.2386050360821859</c:v>
                </c:pt>
                <c:pt idx="786">
                  <c:v>2.2385696929105272</c:v>
                </c:pt>
                <c:pt idx="787">
                  <c:v>2.2385343499981518</c:v>
                </c:pt>
                <c:pt idx="788">
                  <c:v>2.2384990073450535</c:v>
                </c:pt>
                <c:pt idx="789">
                  <c:v>2.2384636649512419</c:v>
                </c:pt>
                <c:pt idx="790">
                  <c:v>2.2384283228167101</c:v>
                </c:pt>
                <c:pt idx="791">
                  <c:v>2.2383929809414642</c:v>
                </c:pt>
                <c:pt idx="792">
                  <c:v>2.2383576393254971</c:v>
                </c:pt>
                <c:pt idx="793">
                  <c:v>2.2383222979688204</c:v>
                </c:pt>
                <c:pt idx="794">
                  <c:v>2.2382869568714217</c:v>
                </c:pt>
                <c:pt idx="795">
                  <c:v>2.2382516160333115</c:v>
                </c:pt>
                <c:pt idx="796">
                  <c:v>2.2382162754544845</c:v>
                </c:pt>
                <c:pt idx="797">
                  <c:v>2.2381809351349418</c:v>
                </c:pt>
                <c:pt idx="798">
                  <c:v>2.2381455950746885</c:v>
                </c:pt>
                <c:pt idx="799">
                  <c:v>2.2381102552737184</c:v>
                </c:pt>
                <c:pt idx="800">
                  <c:v>2.238074915732037</c:v>
                </c:pt>
                <c:pt idx="801">
                  <c:v>2.2380395764496495</c:v>
                </c:pt>
                <c:pt idx="802">
                  <c:v>2.2380042374265408</c:v>
                </c:pt>
                <c:pt idx="803">
                  <c:v>2.2379688986627251</c:v>
                </c:pt>
                <c:pt idx="804">
                  <c:v>2.2379335601581936</c:v>
                </c:pt>
                <c:pt idx="805">
                  <c:v>2.2378982219129515</c:v>
                </c:pt>
                <c:pt idx="806">
                  <c:v>2.2378628839270025</c:v>
                </c:pt>
                <c:pt idx="807">
                  <c:v>2.2378275462003456</c:v>
                </c:pt>
                <c:pt idx="808">
                  <c:v>2.2377922087329738</c:v>
                </c:pt>
                <c:pt idx="809">
                  <c:v>2.2377568715248985</c:v>
                </c:pt>
                <c:pt idx="810">
                  <c:v>2.2377215345761101</c:v>
                </c:pt>
                <c:pt idx="811">
                  <c:v>2.2376861978866156</c:v>
                </c:pt>
                <c:pt idx="812">
                  <c:v>2.2376508614564168</c:v>
                </c:pt>
                <c:pt idx="813">
                  <c:v>2.2376155252855074</c:v>
                </c:pt>
                <c:pt idx="814">
                  <c:v>2.237580189373892</c:v>
                </c:pt>
                <c:pt idx="815">
                  <c:v>2.2375448537215696</c:v>
                </c:pt>
                <c:pt idx="816">
                  <c:v>2.2375095183285456</c:v>
                </c:pt>
                <c:pt idx="817">
                  <c:v>2.2374741831948111</c:v>
                </c:pt>
                <c:pt idx="818">
                  <c:v>2.237438848320374</c:v>
                </c:pt>
                <c:pt idx="819">
                  <c:v>2.2374035137052299</c:v>
                </c:pt>
                <c:pt idx="820">
                  <c:v>2.2373681793493914</c:v>
                </c:pt>
                <c:pt idx="821">
                  <c:v>2.2373328452528423</c:v>
                </c:pt>
                <c:pt idx="822">
                  <c:v>2.2372975114155942</c:v>
                </c:pt>
                <c:pt idx="823">
                  <c:v>2.2372621778376418</c:v>
                </c:pt>
                <c:pt idx="824">
                  <c:v>2.2372268445189798</c:v>
                </c:pt>
                <c:pt idx="825">
                  <c:v>2.2371915114596286</c:v>
                </c:pt>
                <c:pt idx="826">
                  <c:v>2.2371561786595651</c:v>
                </c:pt>
                <c:pt idx="827">
                  <c:v>2.2371208461188115</c:v>
                </c:pt>
                <c:pt idx="828">
                  <c:v>2.2370855138373456</c:v>
                </c:pt>
                <c:pt idx="829">
                  <c:v>2.2370501818151922</c:v>
                </c:pt>
                <c:pt idx="830">
                  <c:v>2.2370148500523284</c:v>
                </c:pt>
                <c:pt idx="831">
                  <c:v>2.2369795185487762</c:v>
                </c:pt>
                <c:pt idx="832">
                  <c:v>2.236944187304525</c:v>
                </c:pt>
                <c:pt idx="833">
                  <c:v>2.2369088563195678</c:v>
                </c:pt>
                <c:pt idx="834">
                  <c:v>2.2368735255939169</c:v>
                </c:pt>
                <c:pt idx="835">
                  <c:v>2.2368381951275671</c:v>
                </c:pt>
                <c:pt idx="836">
                  <c:v>2.2368028649205289</c:v>
                </c:pt>
                <c:pt idx="837">
                  <c:v>2.2367675349727811</c:v>
                </c:pt>
                <c:pt idx="838">
                  <c:v>2.2367322052843503</c:v>
                </c:pt>
                <c:pt idx="839">
                  <c:v>2.2366968758552197</c:v>
                </c:pt>
                <c:pt idx="840">
                  <c:v>2.2366615466853972</c:v>
                </c:pt>
                <c:pt idx="841">
                  <c:v>2.2366262177748757</c:v>
                </c:pt>
                <c:pt idx="842">
                  <c:v>2.2365908891236623</c:v>
                </c:pt>
                <c:pt idx="843">
                  <c:v>2.2365555607317553</c:v>
                </c:pt>
                <c:pt idx="844">
                  <c:v>2.2365202325991591</c:v>
                </c:pt>
                <c:pt idx="845">
                  <c:v>2.2364849047258675</c:v>
                </c:pt>
                <c:pt idx="846">
                  <c:v>2.2364495771118857</c:v>
                </c:pt>
                <c:pt idx="847">
                  <c:v>2.2364142497572086</c:v>
                </c:pt>
                <c:pt idx="848">
                  <c:v>2.2363789226618458</c:v>
                </c:pt>
                <c:pt idx="849">
                  <c:v>2.236343595825792</c:v>
                </c:pt>
                <c:pt idx="850">
                  <c:v>2.2363082692490446</c:v>
                </c:pt>
                <c:pt idx="851">
                  <c:v>2.2362729429316115</c:v>
                </c:pt>
                <c:pt idx="852">
                  <c:v>2.2362376168734865</c:v>
                </c:pt>
                <c:pt idx="853">
                  <c:v>2.2362022910746733</c:v>
                </c:pt>
                <c:pt idx="854">
                  <c:v>2.2361669655351673</c:v>
                </c:pt>
                <c:pt idx="855">
                  <c:v>2.2361316402549809</c:v>
                </c:pt>
                <c:pt idx="856">
                  <c:v>2.2360963152341018</c:v>
                </c:pt>
                <c:pt idx="857">
                  <c:v>2.2360609904725406</c:v>
                </c:pt>
                <c:pt idx="858">
                  <c:v>2.2360256659702902</c:v>
                </c:pt>
                <c:pt idx="859">
                  <c:v>2.2359903417273541</c:v>
                </c:pt>
                <c:pt idx="860">
                  <c:v>2.2359550177437351</c:v>
                </c:pt>
                <c:pt idx="861">
                  <c:v>2.2359196940194286</c:v>
                </c:pt>
                <c:pt idx="862">
                  <c:v>2.2358843705544365</c:v>
                </c:pt>
                <c:pt idx="863">
                  <c:v>2.2358490473487622</c:v>
                </c:pt>
                <c:pt idx="864">
                  <c:v>2.2358137244023988</c:v>
                </c:pt>
                <c:pt idx="865">
                  <c:v>2.2357784017153604</c:v>
                </c:pt>
                <c:pt idx="866">
                  <c:v>2.2357430792876363</c:v>
                </c:pt>
                <c:pt idx="867">
                  <c:v>2.2357077571192292</c:v>
                </c:pt>
                <c:pt idx="868">
                  <c:v>2.2356724352101374</c:v>
                </c:pt>
                <c:pt idx="869">
                  <c:v>2.2356371135603714</c:v>
                </c:pt>
                <c:pt idx="870">
                  <c:v>2.2356017921699172</c:v>
                </c:pt>
                <c:pt idx="871">
                  <c:v>2.2355664710387861</c:v>
                </c:pt>
                <c:pt idx="872">
                  <c:v>2.2355311501669766</c:v>
                </c:pt>
                <c:pt idx="873">
                  <c:v>2.2354958295544884</c:v>
                </c:pt>
                <c:pt idx="874">
                  <c:v>2.2354605092013182</c:v>
                </c:pt>
                <c:pt idx="875">
                  <c:v>2.2354251891074686</c:v>
                </c:pt>
                <c:pt idx="876">
                  <c:v>2.2353898692729404</c:v>
                </c:pt>
                <c:pt idx="877">
                  <c:v>2.2353545496977389</c:v>
                </c:pt>
                <c:pt idx="878">
                  <c:v>2.2353192303818528</c:v>
                </c:pt>
                <c:pt idx="879">
                  <c:v>2.2352839113252978</c:v>
                </c:pt>
                <c:pt idx="880">
                  <c:v>2.2352485925280599</c:v>
                </c:pt>
                <c:pt idx="881">
                  <c:v>2.2352132739901505</c:v>
                </c:pt>
                <c:pt idx="882">
                  <c:v>2.2351779557115625</c:v>
                </c:pt>
                <c:pt idx="883">
                  <c:v>2.2351426376923031</c:v>
                </c:pt>
                <c:pt idx="884">
                  <c:v>2.2351073199323706</c:v>
                </c:pt>
                <c:pt idx="885">
                  <c:v>2.2350720024317585</c:v>
                </c:pt>
                <c:pt idx="886">
                  <c:v>2.2350366851904777</c:v>
                </c:pt>
                <c:pt idx="887">
                  <c:v>2.2350013682085175</c:v>
                </c:pt>
                <c:pt idx="888">
                  <c:v>2.2349660514858911</c:v>
                </c:pt>
                <c:pt idx="889">
                  <c:v>2.2349307350225933</c:v>
                </c:pt>
                <c:pt idx="890">
                  <c:v>2.234895418818617</c:v>
                </c:pt>
                <c:pt idx="891">
                  <c:v>2.2348601028739719</c:v>
                </c:pt>
                <c:pt idx="892">
                  <c:v>2.2348247871886571</c:v>
                </c:pt>
                <c:pt idx="893">
                  <c:v>2.2347894717626717</c:v>
                </c:pt>
                <c:pt idx="894">
                  <c:v>2.2347541565960132</c:v>
                </c:pt>
                <c:pt idx="895">
                  <c:v>2.2347188416886921</c:v>
                </c:pt>
                <c:pt idx="896">
                  <c:v>2.2346835270406942</c:v>
                </c:pt>
                <c:pt idx="897">
                  <c:v>2.2346482126520302</c:v>
                </c:pt>
                <c:pt idx="898">
                  <c:v>2.2346128985227018</c:v>
                </c:pt>
                <c:pt idx="899">
                  <c:v>2.234577584652703</c:v>
                </c:pt>
                <c:pt idx="900">
                  <c:v>2.2345422710420362</c:v>
                </c:pt>
                <c:pt idx="901">
                  <c:v>2.2345069576907042</c:v>
                </c:pt>
                <c:pt idx="902">
                  <c:v>2.2344716445987061</c:v>
                </c:pt>
                <c:pt idx="903">
                  <c:v>2.2344363317660374</c:v>
                </c:pt>
                <c:pt idx="904">
                  <c:v>2.2344010191927088</c:v>
                </c:pt>
                <c:pt idx="905">
                  <c:v>2.2343657068787142</c:v>
                </c:pt>
                <c:pt idx="906">
                  <c:v>2.2343303948240587</c:v>
                </c:pt>
                <c:pt idx="907">
                  <c:v>2.2342950830287336</c:v>
                </c:pt>
                <c:pt idx="908">
                  <c:v>2.2342597714927468</c:v>
                </c:pt>
                <c:pt idx="909">
                  <c:v>2.2342244602160983</c:v>
                </c:pt>
                <c:pt idx="910">
                  <c:v>2.2341891491987829</c:v>
                </c:pt>
                <c:pt idx="911">
                  <c:v>2.2341538384408093</c:v>
                </c:pt>
                <c:pt idx="912">
                  <c:v>2.2341185279421714</c:v>
                </c:pt>
                <c:pt idx="913">
                  <c:v>2.2340832177028771</c:v>
                </c:pt>
                <c:pt idx="914">
                  <c:v>2.2340479077229132</c:v>
                </c:pt>
                <c:pt idx="915">
                  <c:v>2.2340125980022965</c:v>
                </c:pt>
                <c:pt idx="916">
                  <c:v>2.2339772885410181</c:v>
                </c:pt>
                <c:pt idx="917">
                  <c:v>2.233941979339078</c:v>
                </c:pt>
                <c:pt idx="918">
                  <c:v>2.2339066703964781</c:v>
                </c:pt>
                <c:pt idx="919">
                  <c:v>2.23387136171322</c:v>
                </c:pt>
                <c:pt idx="920">
                  <c:v>2.2338360532893073</c:v>
                </c:pt>
                <c:pt idx="921">
                  <c:v>2.2338007451247357</c:v>
                </c:pt>
                <c:pt idx="922">
                  <c:v>2.233765437219505</c:v>
                </c:pt>
                <c:pt idx="923">
                  <c:v>2.2337301295736145</c:v>
                </c:pt>
                <c:pt idx="924">
                  <c:v>2.2336948221870747</c:v>
                </c:pt>
                <c:pt idx="925">
                  <c:v>2.2336595150598777</c:v>
                </c:pt>
                <c:pt idx="926">
                  <c:v>2.2336242081920226</c:v>
                </c:pt>
                <c:pt idx="927">
                  <c:v>2.2335889015835138</c:v>
                </c:pt>
                <c:pt idx="928">
                  <c:v>2.2335535952343486</c:v>
                </c:pt>
                <c:pt idx="929">
                  <c:v>2.2335182891445289</c:v>
                </c:pt>
                <c:pt idx="930">
                  <c:v>2.2334829833140599</c:v>
                </c:pt>
                <c:pt idx="931">
                  <c:v>2.2334476777429364</c:v>
                </c:pt>
                <c:pt idx="932">
                  <c:v>2.233412372431153</c:v>
                </c:pt>
                <c:pt idx="933">
                  <c:v>2.2333770673787274</c:v>
                </c:pt>
                <c:pt idx="934">
                  <c:v>2.2333417625856447</c:v>
                </c:pt>
                <c:pt idx="935">
                  <c:v>2.2333064580519135</c:v>
                </c:pt>
                <c:pt idx="936">
                  <c:v>2.2332711537775278</c:v>
                </c:pt>
                <c:pt idx="937">
                  <c:v>2.2332358497624956</c:v>
                </c:pt>
                <c:pt idx="938">
                  <c:v>2.2332005460068123</c:v>
                </c:pt>
                <c:pt idx="939">
                  <c:v>2.2331652425104798</c:v>
                </c:pt>
                <c:pt idx="940">
                  <c:v>2.2331299392734962</c:v>
                </c:pt>
                <c:pt idx="941">
                  <c:v>2.2330946362958661</c:v>
                </c:pt>
                <c:pt idx="942">
                  <c:v>2.2330593335775912</c:v>
                </c:pt>
                <c:pt idx="943">
                  <c:v>2.2330240311186653</c:v>
                </c:pt>
                <c:pt idx="944">
                  <c:v>2.2329887289190875</c:v>
                </c:pt>
                <c:pt idx="945">
                  <c:v>2.2329534269788667</c:v>
                </c:pt>
                <c:pt idx="946">
                  <c:v>2.232918125298001</c:v>
                </c:pt>
                <c:pt idx="947">
                  <c:v>2.2328828238764906</c:v>
                </c:pt>
                <c:pt idx="948">
                  <c:v>2.2328475227143345</c:v>
                </c:pt>
                <c:pt idx="949">
                  <c:v>2.2328122218115292</c:v>
                </c:pt>
                <c:pt idx="950">
                  <c:v>2.2327769211680835</c:v>
                </c:pt>
                <c:pt idx="951">
                  <c:v>2.2327416207839921</c:v>
                </c:pt>
                <c:pt idx="952">
                  <c:v>2.2327063206592532</c:v>
                </c:pt>
                <c:pt idx="953">
                  <c:v>2.2326710207938749</c:v>
                </c:pt>
                <c:pt idx="954">
                  <c:v>2.2326357211878554</c:v>
                </c:pt>
                <c:pt idx="955">
                  <c:v>2.2326004218411883</c:v>
                </c:pt>
                <c:pt idx="956">
                  <c:v>2.2325651227538854</c:v>
                </c:pt>
                <c:pt idx="957">
                  <c:v>2.232529823925935</c:v>
                </c:pt>
                <c:pt idx="958">
                  <c:v>2.232494525357346</c:v>
                </c:pt>
                <c:pt idx="959">
                  <c:v>2.2324592270481203</c:v>
                </c:pt>
                <c:pt idx="960">
                  <c:v>2.2324239289982524</c:v>
                </c:pt>
                <c:pt idx="961">
                  <c:v>2.2323886312077459</c:v>
                </c:pt>
                <c:pt idx="962">
                  <c:v>2.232353333676599</c:v>
                </c:pt>
                <c:pt idx="963">
                  <c:v>2.2323180364048172</c:v>
                </c:pt>
                <c:pt idx="964">
                  <c:v>2.2322827393923923</c:v>
                </c:pt>
                <c:pt idx="965">
                  <c:v>2.2322474426393333</c:v>
                </c:pt>
                <c:pt idx="966">
                  <c:v>2.2322121461456259</c:v>
                </c:pt>
                <c:pt idx="967">
                  <c:v>2.2321768499112951</c:v>
                </c:pt>
                <c:pt idx="968">
                  <c:v>2.2321415539363274</c:v>
                </c:pt>
                <c:pt idx="969">
                  <c:v>2.232106258220715</c:v>
                </c:pt>
                <c:pt idx="970">
                  <c:v>2.2320709627644684</c:v>
                </c:pt>
                <c:pt idx="971">
                  <c:v>2.2320356675675912</c:v>
                </c:pt>
                <c:pt idx="972">
                  <c:v>2.2320003726300799</c:v>
                </c:pt>
                <c:pt idx="973">
                  <c:v>2.2319650779519327</c:v>
                </c:pt>
                <c:pt idx="974">
                  <c:v>2.2319297835331504</c:v>
                </c:pt>
                <c:pt idx="975">
                  <c:v>2.2318944893737385</c:v>
                </c:pt>
                <c:pt idx="976">
                  <c:v>2.2318591954736915</c:v>
                </c:pt>
                <c:pt idx="977">
                  <c:v>2.2318239018330122</c:v>
                </c:pt>
                <c:pt idx="978">
                  <c:v>2.2317886084517049</c:v>
                </c:pt>
                <c:pt idx="979">
                  <c:v>2.2317533153297591</c:v>
                </c:pt>
                <c:pt idx="980">
                  <c:v>2.2317180224671826</c:v>
                </c:pt>
                <c:pt idx="981">
                  <c:v>2.2316827298639801</c:v>
                </c:pt>
                <c:pt idx="982">
                  <c:v>2.2316474375201496</c:v>
                </c:pt>
                <c:pt idx="983">
                  <c:v>2.2316121454356788</c:v>
                </c:pt>
                <c:pt idx="984">
                  <c:v>2.2315768536105871</c:v>
                </c:pt>
                <c:pt idx="985">
                  <c:v>2.2315415620448649</c:v>
                </c:pt>
                <c:pt idx="986">
                  <c:v>2.2315062707385147</c:v>
                </c:pt>
                <c:pt idx="987">
                  <c:v>2.231470979691542</c:v>
                </c:pt>
                <c:pt idx="988">
                  <c:v>2.2314356889039342</c:v>
                </c:pt>
                <c:pt idx="989">
                  <c:v>2.2314003983757029</c:v>
                </c:pt>
                <c:pt idx="990">
                  <c:v>2.2313651081068429</c:v>
                </c:pt>
                <c:pt idx="991">
                  <c:v>2.2313298180973584</c:v>
                </c:pt>
                <c:pt idx="992">
                  <c:v>2.2312945283472487</c:v>
                </c:pt>
                <c:pt idx="993">
                  <c:v>2.2312592388565129</c:v>
                </c:pt>
                <c:pt idx="994">
                  <c:v>2.2312239496251536</c:v>
                </c:pt>
                <c:pt idx="995">
                  <c:v>2.2311886606531717</c:v>
                </c:pt>
                <c:pt idx="996">
                  <c:v>2.2311533719405601</c:v>
                </c:pt>
                <c:pt idx="997">
                  <c:v>2.2311180834873303</c:v>
                </c:pt>
                <c:pt idx="998">
                  <c:v>2.2310827952934735</c:v>
                </c:pt>
                <c:pt idx="999">
                  <c:v>2.2310475073589968</c:v>
                </c:pt>
                <c:pt idx="1000">
                  <c:v>2.2310122196838984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C-DF48-ADA1-B093CE44BC66}"/>
            </c:ext>
          </c:extLst>
        </c:ser>
        <c:ser>
          <c:idx val="1"/>
          <c:order val="1"/>
          <c:tx>
            <c:strRef>
              <c:f>Courbes!$B$138</c:f>
              <c:strCache>
                <c:ptCount val="1"/>
                <c:pt idx="0">
                  <c:v>Charge vue par un capteur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Calculs!$AH$4:$AH$1004</c:f>
              <c:numCache>
                <c:formatCode>0.00</c:formatCode>
                <c:ptCount val="1001"/>
                <c:pt idx="0">
                  <c:v>0</c:v>
                </c:pt>
                <c:pt idx="1">
                  <c:v>10.48792721291858</c:v>
                </c:pt>
                <c:pt idx="2">
                  <c:v>31.468750599858989</c:v>
                </c:pt>
                <c:pt idx="3">
                  <c:v>52.461707124985445</c:v>
                </c:pt>
                <c:pt idx="4">
                  <c:v>73.473337250536318</c:v>
                </c:pt>
                <c:pt idx="5">
                  <c:v>94.510100636319663</c:v>
                </c:pt>
                <c:pt idx="6">
                  <c:v>104.94130011095642</c:v>
                </c:pt>
                <c:pt idx="7">
                  <c:v>104.74605544332826</c:v>
                </c:pt>
                <c:pt idx="8">
                  <c:v>104.54979002411635</c:v>
                </c:pt>
                <c:pt idx="9">
                  <c:v>104.35250728018376</c:v>
                </c:pt>
                <c:pt idx="10">
                  <c:v>104.15421067758378</c:v>
                </c:pt>
                <c:pt idx="11">
                  <c:v>103.95490372128538</c:v>
                </c:pt>
                <c:pt idx="12">
                  <c:v>103.75458995489529</c:v>
                </c:pt>
                <c:pt idx="13">
                  <c:v>103.55327296037659</c:v>
                </c:pt>
                <c:pt idx="14">
                  <c:v>103.35095635776372</c:v>
                </c:pt>
                <c:pt idx="15">
                  <c:v>103.14764380487441</c:v>
                </c:pt>
                <c:pt idx="16">
                  <c:v>102.94333899701782</c:v>
                </c:pt>
                <c:pt idx="17">
                  <c:v>102.73804566669979</c:v>
                </c:pt>
                <c:pt idx="18">
                  <c:v>102.53176758332457</c:v>
                </c:pt>
                <c:pt idx="19">
                  <c:v>102.32450855289325</c:v>
                </c:pt>
                <c:pt idx="20">
                  <c:v>102.11627241769932</c:v>
                </c:pt>
                <c:pt idx="21">
                  <c:v>101.90706305602085</c:v>
                </c:pt>
                <c:pt idx="22">
                  <c:v>101.69688438180954</c:v>
                </c:pt>
                <c:pt idx="23">
                  <c:v>101.48574034437695</c:v>
                </c:pt>
                <c:pt idx="24">
                  <c:v>101.27363492807746</c:v>
                </c:pt>
                <c:pt idx="25">
                  <c:v>101.06057215198844</c:v>
                </c:pt>
                <c:pt idx="26">
                  <c:v>100.84655606958751</c:v>
                </c:pt>
                <c:pt idx="27">
                  <c:v>100.63159076842682</c:v>
                </c:pt>
                <c:pt idx="28">
                  <c:v>100.41568036980456</c:v>
                </c:pt>
                <c:pt idx="29">
                  <c:v>100.19882902843382</c:v>
                </c:pt>
                <c:pt idx="30">
                  <c:v>99.981040932108471</c:v>
                </c:pt>
                <c:pt idx="31">
                  <c:v>99.762320301366685</c:v>
                </c:pt>
                <c:pt idx="32">
                  <c:v>99.542671389151494</c:v>
                </c:pt>
                <c:pt idx="33">
                  <c:v>99.322098480468995</c:v>
                </c:pt>
                <c:pt idx="34">
                  <c:v>99.100605864544733</c:v>
                </c:pt>
                <c:pt idx="35">
                  <c:v>98.878197857237055</c:v>
                </c:pt>
                <c:pt idx="36">
                  <c:v>98.654878833623471</c:v>
                </c:pt>
                <c:pt idx="37">
                  <c:v>98.430653199558179</c:v>
                </c:pt>
                <c:pt idx="38">
                  <c:v>98.205525391312989</c:v>
                </c:pt>
                <c:pt idx="39">
                  <c:v>97.979499875216277</c:v>
                </c:pt>
                <c:pt idx="40">
                  <c:v>97.752581147290115</c:v>
                </c:pt>
                <c:pt idx="41">
                  <c:v>97.524773732885265</c:v>
                </c:pt>
                <c:pt idx="42">
                  <c:v>97.296082186314791</c:v>
                </c:pt>
                <c:pt idx="43">
                  <c:v>97.06651109048569</c:v>
                </c:pt>
                <c:pt idx="44">
                  <c:v>96.836065056528639</c:v>
                </c:pt>
                <c:pt idx="45">
                  <c:v>96.604748723426326</c:v>
                </c:pt>
                <c:pt idx="46">
                  <c:v>96.37256675763966</c:v>
                </c:pt>
                <c:pt idx="47">
                  <c:v>96.13952385273268</c:v>
                </c:pt>
                <c:pt idx="48">
                  <c:v>95.905624728995662</c:v>
                </c:pt>
                <c:pt idx="49">
                  <c:v>95.670874133066604</c:v>
                </c:pt>
                <c:pt idx="50">
                  <c:v>95.435276837551172</c:v>
                </c:pt>
                <c:pt idx="51">
                  <c:v>95.254895685741971</c:v>
                </c:pt>
                <c:pt idx="52">
                  <c:v>95.129823829354393</c:v>
                </c:pt>
                <c:pt idx="53">
                  <c:v>95.00404074579447</c:v>
                </c:pt>
                <c:pt idx="54">
                  <c:v>94.877548568293022</c:v>
                </c:pt>
                <c:pt idx="55">
                  <c:v>94.750349453729228</c:v>
                </c:pt>
                <c:pt idx="56">
                  <c:v>94.622445582485938</c:v>
                </c:pt>
                <c:pt idx="57">
                  <c:v>94.493839158303331</c:v>
                </c:pt>
                <c:pt idx="58">
                  <c:v>94.364532408130913</c:v>
                </c:pt>
                <c:pt idx="59">
                  <c:v>94.234527581977872</c:v>
                </c:pt>
                <c:pt idx="60">
                  <c:v>94.103826952761736</c:v>
                </c:pt>
                <c:pt idx="61">
                  <c:v>93.972432816155504</c:v>
                </c:pt>
                <c:pt idx="62">
                  <c:v>93.840347490433032</c:v>
                </c:pt>
                <c:pt idx="63">
                  <c:v>93.707573316312988</c:v>
                </c:pt>
                <c:pt idx="64">
                  <c:v>93.574112656801034</c:v>
                </c:pt>
                <c:pt idx="65">
                  <c:v>93.439967897030684</c:v>
                </c:pt>
                <c:pt idx="66">
                  <c:v>93.305141444102276</c:v>
                </c:pt>
                <c:pt idx="67">
                  <c:v>93.169635726920859</c:v>
                </c:pt>
                <c:pt idx="68">
                  <c:v>93.03345319603217</c:v>
                </c:pt>
                <c:pt idx="69">
                  <c:v>92.896596323457302</c:v>
                </c:pt>
                <c:pt idx="70">
                  <c:v>92.759067602525874</c:v>
                </c:pt>
                <c:pt idx="71">
                  <c:v>92.620869547707784</c:v>
                </c:pt>
                <c:pt idx="72">
                  <c:v>92.482004694443404</c:v>
                </c:pt>
                <c:pt idx="73">
                  <c:v>92.342475598972456</c:v>
                </c:pt>
                <c:pt idx="74">
                  <c:v>92.202284838161532</c:v>
                </c:pt>
                <c:pt idx="75">
                  <c:v>92.061435009329969</c:v>
                </c:pt>
                <c:pt idx="76">
                  <c:v>91.919928730074815</c:v>
                </c:pt>
                <c:pt idx="77">
                  <c:v>91.777768638093988</c:v>
                </c:pt>
                <c:pt idx="78">
                  <c:v>91.634957391008442</c:v>
                </c:pt>
                <c:pt idx="79">
                  <c:v>91.491497666182823</c:v>
                </c:pt>
                <c:pt idx="80">
                  <c:v>91.347392160544999</c:v>
                </c:pt>
                <c:pt idx="81">
                  <c:v>91.20264359040425</c:v>
                </c:pt>
                <c:pt idx="82">
                  <c:v>91.057254691268227</c:v>
                </c:pt>
                <c:pt idx="83">
                  <c:v>90.911228217658774</c:v>
                </c:pt>
                <c:pt idx="84">
                  <c:v>90.764566942926308</c:v>
                </c:pt>
                <c:pt idx="85">
                  <c:v>90.617273659063471</c:v>
                </c:pt>
                <c:pt idx="86">
                  <c:v>90.469351176517137</c:v>
                </c:pt>
                <c:pt idx="87">
                  <c:v>90.320802323999658</c:v>
                </c:pt>
                <c:pt idx="88">
                  <c:v>90.171629948298758</c:v>
                </c:pt>
                <c:pt idx="89">
                  <c:v>90.021836914086535</c:v>
                </c:pt>
                <c:pt idx="90">
                  <c:v>89.871426103727259</c:v>
                </c:pt>
                <c:pt idx="91">
                  <c:v>89.720400417084264</c:v>
                </c:pt>
                <c:pt idx="92">
                  <c:v>89.568762771325595</c:v>
                </c:pt>
                <c:pt idx="93">
                  <c:v>89.416516100728913</c:v>
                </c:pt>
                <c:pt idx="94">
                  <c:v>89.263663356485353</c:v>
                </c:pt>
                <c:pt idx="95">
                  <c:v>89.110207506502277</c:v>
                </c:pt>
                <c:pt idx="96">
                  <c:v>88.956151535205379</c:v>
                </c:pt>
                <c:pt idx="97">
                  <c:v>88.801498443339526</c:v>
                </c:pt>
                <c:pt idx="98">
                  <c:v>88.646251247769143</c:v>
                </c:pt>
                <c:pt idx="99">
                  <c:v>88.490412981277373</c:v>
                </c:pt>
                <c:pt idx="100">
                  <c:v>88.333986692364576</c:v>
                </c:pt>
                <c:pt idx="101">
                  <c:v>88.151090173563887</c:v>
                </c:pt>
                <c:pt idx="102">
                  <c:v>87.941697186344456</c:v>
                </c:pt>
                <c:pt idx="103">
                  <c:v>87.731691153431129</c:v>
                </c:pt>
                <c:pt idx="104">
                  <c:v>87.521076392336084</c:v>
                </c:pt>
                <c:pt idx="105">
                  <c:v>87.309857233376832</c:v>
                </c:pt>
                <c:pt idx="106">
                  <c:v>87.09803801937376</c:v>
                </c:pt>
                <c:pt idx="107">
                  <c:v>86.885623105347477</c:v>
                </c:pt>
                <c:pt idx="108">
                  <c:v>86.672616858216003</c:v>
                </c:pt>
                <c:pt idx="109">
                  <c:v>86.459023656491937</c:v>
                </c:pt>
                <c:pt idx="110">
                  <c:v>86.24484788997944</c:v>
                </c:pt>
                <c:pt idx="111">
                  <c:v>86.03009395947123</c:v>
                </c:pt>
                <c:pt idx="112">
                  <c:v>85.814766276445653</c:v>
                </c:pt>
                <c:pt idx="113">
                  <c:v>85.598869262763614</c:v>
                </c:pt>
                <c:pt idx="114">
                  <c:v>85.382407350365739</c:v>
                </c:pt>
                <c:pt idx="115">
                  <c:v>85.165384980969691</c:v>
                </c:pt>
                <c:pt idx="116">
                  <c:v>84.947806605767298</c:v>
                </c:pt>
                <c:pt idx="117">
                  <c:v>84.729676685122328</c:v>
                </c:pt>
                <c:pt idx="118">
                  <c:v>84.510999688268072</c:v>
                </c:pt>
                <c:pt idx="119">
                  <c:v>84.291780093005357</c:v>
                </c:pt>
                <c:pt idx="120">
                  <c:v>84.072022385400857</c:v>
                </c:pt>
                <c:pt idx="121">
                  <c:v>83.851731059485644</c:v>
                </c:pt>
                <c:pt idx="122">
                  <c:v>83.630910616954054</c:v>
                </c:pt>
                <c:pt idx="123">
                  <c:v>83.409565566863066</c:v>
                </c:pt>
                <c:pt idx="124">
                  <c:v>83.18770042533194</c:v>
                </c:pt>
                <c:pt idx="125">
                  <c:v>82.965319715242401</c:v>
                </c:pt>
                <c:pt idx="126">
                  <c:v>82.742427965939271</c:v>
                </c:pt>
                <c:pt idx="127">
                  <c:v>82.519029712931584</c:v>
                </c:pt>
                <c:pt idx="128">
                  <c:v>82.295129497594303</c:v>
                </c:pt>
                <c:pt idx="129">
                  <c:v>82.070731866870517</c:v>
                </c:pt>
                <c:pt idx="130">
                  <c:v>81.845841372974334</c:v>
                </c:pt>
                <c:pt idx="131">
                  <c:v>81.620462573094414</c:v>
                </c:pt>
                <c:pt idx="132">
                  <c:v>81.394600029098029</c:v>
                </c:pt>
                <c:pt idx="133">
                  <c:v>81.168258307236101</c:v>
                </c:pt>
                <c:pt idx="134">
                  <c:v>80.941441977848612</c:v>
                </c:pt>
                <c:pt idx="135">
                  <c:v>80.714155615071022</c:v>
                </c:pt>
                <c:pt idx="136">
                  <c:v>80.486403796541524</c:v>
                </c:pt>
                <c:pt idx="137">
                  <c:v>80.258191103108857</c:v>
                </c:pt>
                <c:pt idx="138">
                  <c:v>80.029522118541237</c:v>
                </c:pt>
                <c:pt idx="139">
                  <c:v>79.800401429236018</c:v>
                </c:pt>
                <c:pt idx="140">
                  <c:v>79.570833623930284</c:v>
                </c:pt>
                <c:pt idx="141">
                  <c:v>79.34082329341247</c:v>
                </c:pt>
                <c:pt idx="142">
                  <c:v>79.110375030234806</c:v>
                </c:pt>
                <c:pt idx="143">
                  <c:v>78.879493428426926</c:v>
                </c:pt>
                <c:pt idx="144">
                  <c:v>78.648183083210341</c:v>
                </c:pt>
                <c:pt idx="145">
                  <c:v>78.416448590713955</c:v>
                </c:pt>
                <c:pt idx="146">
                  <c:v>78.184294547690953</c:v>
                </c:pt>
                <c:pt idx="147">
                  <c:v>77.951725551236393</c:v>
                </c:pt>
                <c:pt idx="148">
                  <c:v>77.718746198506224</c:v>
                </c:pt>
                <c:pt idx="149">
                  <c:v>77.485361086437322</c:v>
                </c:pt>
                <c:pt idx="150">
                  <c:v>77.2515748114687</c:v>
                </c:pt>
                <c:pt idx="151">
                  <c:v>77.026210037351774</c:v>
                </c:pt>
                <c:pt idx="152">
                  <c:v>76.809277074798473</c:v>
                </c:pt>
                <c:pt idx="153">
                  <c:v>76.591960594483098</c:v>
                </c:pt>
                <c:pt idx="154">
                  <c:v>76.374264799447459</c:v>
                </c:pt>
                <c:pt idx="155">
                  <c:v>76.156193892498351</c:v>
                </c:pt>
                <c:pt idx="156">
                  <c:v>75.937752075962592</c:v>
                </c:pt>
                <c:pt idx="157">
                  <c:v>75.718943551443161</c:v>
                </c:pt>
                <c:pt idx="158">
                  <c:v>75.499772519576396</c:v>
                </c:pt>
                <c:pt idx="159">
                  <c:v>75.280243179790091</c:v>
                </c:pt>
                <c:pt idx="160">
                  <c:v>75.060359730063212</c:v>
                </c:pt>
                <c:pt idx="161">
                  <c:v>74.840126366686206</c:v>
                </c:pt>
                <c:pt idx="162">
                  <c:v>74.61954728402273</c:v>
                </c:pt>
                <c:pt idx="163">
                  <c:v>74.39862667427272</c:v>
                </c:pt>
                <c:pt idx="164">
                  <c:v>74.177368727236271</c:v>
                </c:pt>
                <c:pt idx="165">
                  <c:v>73.955777630079027</c:v>
                </c:pt>
                <c:pt idx="166">
                  <c:v>73.733857567098838</c:v>
                </c:pt>
                <c:pt idx="167">
                  <c:v>73.511612719493499</c:v>
                </c:pt>
                <c:pt idx="168">
                  <c:v>73.289047265129781</c:v>
                </c:pt>
                <c:pt idx="169">
                  <c:v>73.066165378313968</c:v>
                </c:pt>
                <c:pt idx="170">
                  <c:v>72.842971229563489</c:v>
                </c:pt>
                <c:pt idx="171">
                  <c:v>72.619468985380024</c:v>
                </c:pt>
                <c:pt idx="172">
                  <c:v>72.3956628080238</c:v>
                </c:pt>
                <c:pt idx="173">
                  <c:v>72.171556855289538</c:v>
                </c:pt>
                <c:pt idx="174">
                  <c:v>71.94715528028344</c:v>
                </c:pt>
                <c:pt idx="175">
                  <c:v>71.722462231201831</c:v>
                </c:pt>
                <c:pt idx="176">
                  <c:v>71.497481851111161</c:v>
                </c:pt>
                <c:pt idx="177">
                  <c:v>71.272218277729394</c:v>
                </c:pt>
                <c:pt idx="178">
                  <c:v>71.046675643208843</c:v>
                </c:pt>
                <c:pt idx="179">
                  <c:v>70.820858073920604</c:v>
                </c:pt>
                <c:pt idx="180">
                  <c:v>70.594769690240312</c:v>
                </c:pt>
                <c:pt idx="181">
                  <c:v>70.368414606335378</c:v>
                </c:pt>
                <c:pt idx="182">
                  <c:v>70.14179692995404</c:v>
                </c:pt>
                <c:pt idx="183">
                  <c:v>69.914920762215516</c:v>
                </c:pt>
                <c:pt idx="184">
                  <c:v>69.687790197401981</c:v>
                </c:pt>
                <c:pt idx="185">
                  <c:v>69.460409322752028</c:v>
                </c:pt>
                <c:pt idx="186">
                  <c:v>69.232782218255636</c:v>
                </c:pt>
                <c:pt idx="187">
                  <c:v>69.004912956450909</c:v>
                </c:pt>
                <c:pt idx="188">
                  <c:v>68.776805602222041</c:v>
                </c:pt>
                <c:pt idx="189">
                  <c:v>68.548464212599328</c:v>
                </c:pt>
                <c:pt idx="190">
                  <c:v>68.319892836560527</c:v>
                </c:pt>
                <c:pt idx="191">
                  <c:v>68.09109551483381</c:v>
                </c:pt>
                <c:pt idx="192">
                  <c:v>67.862076279702634</c:v>
                </c:pt>
                <c:pt idx="193">
                  <c:v>67.632839154811947</c:v>
                </c:pt>
                <c:pt idx="194">
                  <c:v>67.403388154976184</c:v>
                </c:pt>
                <c:pt idx="195">
                  <c:v>67.173727285989131</c:v>
                </c:pt>
                <c:pt idx="196">
                  <c:v>66.943860544435097</c:v>
                </c:pt>
                <c:pt idx="197">
                  <c:v>66.713791917502121</c:v>
                </c:pt>
                <c:pt idx="198">
                  <c:v>66.4835253827966</c:v>
                </c:pt>
                <c:pt idx="199">
                  <c:v>66.253064908159956</c:v>
                </c:pt>
                <c:pt idx="200">
                  <c:v>66.022414451486725</c:v>
                </c:pt>
                <c:pt idx="201">
                  <c:v>65.791577960544558</c:v>
                </c:pt>
                <c:pt idx="202">
                  <c:v>65.560559372795836</c:v>
                </c:pt>
                <c:pt idx="203">
                  <c:v>65.3293626152212</c:v>
                </c:pt>
                <c:pt idx="204">
                  <c:v>65.097991604144681</c:v>
                </c:pt>
                <c:pt idx="205">
                  <c:v>64.866450245060747</c:v>
                </c:pt>
                <c:pt idx="206">
                  <c:v>64.634742432462886</c:v>
                </c:pt>
                <c:pt idx="207">
                  <c:v>64.40287204967423</c:v>
                </c:pt>
                <c:pt idx="208">
                  <c:v>64.170842968679906</c:v>
                </c:pt>
                <c:pt idx="209">
                  <c:v>63.938659049960975</c:v>
                </c:pt>
                <c:pt idx="210">
                  <c:v>63.706324142330466</c:v>
                </c:pt>
                <c:pt idx="211">
                  <c:v>63.473842082770993</c:v>
                </c:pt>
                <c:pt idx="212">
                  <c:v>63.241216696274307</c:v>
                </c:pt>
                <c:pt idx="213">
                  <c:v>63.008451795682625</c:v>
                </c:pt>
                <c:pt idx="214">
                  <c:v>62.775551181531711</c:v>
                </c:pt>
                <c:pt idx="215">
                  <c:v>62.542518641895995</c:v>
                </c:pt>
                <c:pt idx="216">
                  <c:v>62.309357952235246</c:v>
                </c:pt>
                <c:pt idx="217">
                  <c:v>62.076072875243241</c:v>
                </c:pt>
                <c:pt idx="218">
                  <c:v>61.842667160698333</c:v>
                </c:pt>
                <c:pt idx="219">
                  <c:v>61.609144545315637</c:v>
                </c:pt>
                <c:pt idx="220">
                  <c:v>61.375508752601341</c:v>
                </c:pt>
                <c:pt idx="221">
                  <c:v>61.141763492708634</c:v>
                </c:pt>
                <c:pt idx="222">
                  <c:v>60.907912462295606</c:v>
                </c:pt>
                <c:pt idx="223">
                  <c:v>60.673959344384976</c:v>
                </c:pt>
                <c:pt idx="224">
                  <c:v>60.439907808225648</c:v>
                </c:pt>
                <c:pt idx="225">
                  <c:v>60.205761509156261</c:v>
                </c:pt>
                <c:pt idx="226">
                  <c:v>59.971524088470311</c:v>
                </c:pt>
                <c:pt idx="227">
                  <c:v>59.737199173283521</c:v>
                </c:pt>
                <c:pt idx="228">
                  <c:v>59.5027903764027</c:v>
                </c:pt>
                <c:pt idx="229">
                  <c:v>59.268301296196711</c:v>
                </c:pt>
                <c:pt idx="230">
                  <c:v>59.033735516469278</c:v>
                </c:pt>
                <c:pt idx="231">
                  <c:v>58.799096606333492</c:v>
                </c:pt>
                <c:pt idx="232">
                  <c:v>58.564388120088438</c:v>
                </c:pt>
                <c:pt idx="233">
                  <c:v>58.329613597097413</c:v>
                </c:pt>
                <c:pt idx="234">
                  <c:v>58.094776561668276</c:v>
                </c:pt>
                <c:pt idx="235">
                  <c:v>57.859880522935462</c:v>
                </c:pt>
                <c:pt idx="236">
                  <c:v>57.624928974743916</c:v>
                </c:pt>
                <c:pt idx="237">
                  <c:v>57.389925395535002</c:v>
                </c:pt>
                <c:pt idx="238">
                  <c:v>57.15487324823404</c:v>
                </c:pt>
                <c:pt idx="239">
                  <c:v>56.919775980139939</c:v>
                </c:pt>
                <c:pt idx="240">
                  <c:v>56.684637022816631</c:v>
                </c:pt>
                <c:pt idx="241">
                  <c:v>56.449459791986179</c:v>
                </c:pt>
                <c:pt idx="242">
                  <c:v>56.214247687423999</c:v>
                </c:pt>
                <c:pt idx="243">
                  <c:v>55.979004092855767</c:v>
                </c:pt>
                <c:pt idx="244">
                  <c:v>55.743732375856233</c:v>
                </c:pt>
                <c:pt idx="245">
                  <c:v>55.508435887749911</c:v>
                </c:pt>
                <c:pt idx="246">
                  <c:v>55.273117963513457</c:v>
                </c:pt>
                <c:pt idx="247">
                  <c:v>55.037781921680185</c:v>
                </c:pt>
                <c:pt idx="248">
                  <c:v>54.802431064246036</c:v>
                </c:pt>
                <c:pt idx="249">
                  <c:v>54.567068676577762</c:v>
                </c:pt>
                <c:pt idx="250">
                  <c:v>54.331698027322624</c:v>
                </c:pt>
                <c:pt idx="251">
                  <c:v>54.058226515653452</c:v>
                </c:pt>
                <c:pt idx="252">
                  <c:v>53.74666470511233</c:v>
                </c:pt>
                <c:pt idx="253">
                  <c:v>53.435145362294747</c:v>
                </c:pt>
                <c:pt idx="254">
                  <c:v>53.123673000905903</c:v>
                </c:pt>
                <c:pt idx="255">
                  <c:v>52.81225210503721</c:v>
                </c:pt>
                <c:pt idx="256">
                  <c:v>52.500887129056984</c:v>
                </c:pt>
                <c:pt idx="257">
                  <c:v>52.189582497504453</c:v>
                </c:pt>
                <c:pt idx="258">
                  <c:v>51.878342604987182</c:v>
                </c:pt>
                <c:pt idx="259">
                  <c:v>51.567171816081618</c:v>
                </c:pt>
                <c:pt idx="260">
                  <c:v>51.256074465237234</c:v>
                </c:pt>
                <c:pt idx="261">
                  <c:v>50.945054856683704</c:v>
                </c:pt>
                <c:pt idx="262">
                  <c:v>50.634117264341477</c:v>
                </c:pt>
                <c:pt idx="263">
                  <c:v>50.323265931735584</c:v>
                </c:pt>
                <c:pt idx="264">
                  <c:v>50.012505071912734</c:v>
                </c:pt>
                <c:pt idx="265">
                  <c:v>49.701838867361481</c:v>
                </c:pt>
                <c:pt idx="266">
                  <c:v>49.391271469935752</c:v>
                </c:pt>
                <c:pt idx="267">
                  <c:v>49.080807000781512</c:v>
                </c:pt>
                <c:pt idx="268">
                  <c:v>48.770449550266441</c:v>
                </c:pt>
                <c:pt idx="269">
                  <c:v>48.460203177913094</c:v>
                </c:pt>
                <c:pt idx="270">
                  <c:v>48.150071912334795</c:v>
                </c:pt>
                <c:pt idx="271">
                  <c:v>47.840059751174898</c:v>
                </c:pt>
                <c:pt idx="272">
                  <c:v>47.530170661049034</c:v>
                </c:pt>
                <c:pt idx="273">
                  <c:v>47.220408577490446</c:v>
                </c:pt>
                <c:pt idx="274">
                  <c:v>46.910777404898354</c:v>
                </c:pt>
                <c:pt idx="275">
                  <c:v>46.601281016489324</c:v>
                </c:pt>
                <c:pt idx="276">
                  <c:v>46.291923254251699</c:v>
                </c:pt>
                <c:pt idx="277">
                  <c:v>45.982707928902933</c:v>
                </c:pt>
                <c:pt idx="278">
                  <c:v>45.67363881984992</c:v>
                </c:pt>
                <c:pt idx="279">
                  <c:v>45.364719675152244</c:v>
                </c:pt>
                <c:pt idx="280">
                  <c:v>45.055954211488441</c:v>
                </c:pt>
                <c:pt idx="281">
                  <c:v>44.747346114124895</c:v>
                </c:pt>
                <c:pt idx="282">
                  <c:v>44.438899036887911</c:v>
                </c:pt>
                <c:pt idx="283">
                  <c:v>44.130616602138453</c:v>
                </c:pt>
                <c:pt idx="284">
                  <c:v>43.822502400749677</c:v>
                </c:pt>
                <c:pt idx="285">
                  <c:v>43.514559992087413</c:v>
                </c:pt>
                <c:pt idx="286">
                  <c:v>43.206792903993282</c:v>
                </c:pt>
                <c:pt idx="287">
                  <c:v>42.899204632770619</c:v>
                </c:pt>
                <c:pt idx="288">
                  <c:v>42.591798643173121</c:v>
                </c:pt>
                <c:pt idx="289">
                  <c:v>42.284578368396204</c:v>
                </c:pt>
                <c:pt idx="290">
                  <c:v>41.977547210071023</c:v>
                </c:pt>
                <c:pt idx="291">
                  <c:v>41.670708538261181</c:v>
                </c:pt>
                <c:pt idx="292">
                  <c:v>41.364065691461988</c:v>
                </c:pt>
                <c:pt idx="293">
                  <c:v>41.057621976602405</c:v>
                </c:pt>
                <c:pt idx="294">
                  <c:v>40.751380669049553</c:v>
                </c:pt>
                <c:pt idx="295">
                  <c:v>40.445345012615803</c:v>
                </c:pt>
                <c:pt idx="296">
                  <c:v>40.139518219568231</c:v>
                </c:pt>
                <c:pt idx="297">
                  <c:v>39.833903470640855</c:v>
                </c:pt>
                <c:pt idx="298">
                  <c:v>39.110231778827767</c:v>
                </c:pt>
                <c:pt idx="299">
                  <c:v>37.96876363997994</c:v>
                </c:pt>
                <c:pt idx="300">
                  <c:v>36.828273207942104</c:v>
                </c:pt>
                <c:pt idx="301">
                  <c:v>35.688785559561275</c:v>
                </c:pt>
                <c:pt idx="302">
                  <c:v>34.550325380985186</c:v>
                </c:pt>
                <c:pt idx="303">
                  <c:v>33.412916967648094</c:v>
                </c:pt>
                <c:pt idx="304">
                  <c:v>32.276584224329028</c:v>
                </c:pt>
                <c:pt idx="305">
                  <c:v>31.141350665281728</c:v>
                </c:pt>
                <c:pt idx="306">
                  <c:v>30.007239414434885</c:v>
                </c:pt>
                <c:pt idx="307">
                  <c:v>28.874273205661925</c:v>
                </c:pt>
                <c:pt idx="308">
                  <c:v>27.742474383118818</c:v>
                </c:pt>
                <c:pt idx="309">
                  <c:v>26.61186490164927</c:v>
                </c:pt>
                <c:pt idx="310">
                  <c:v>25.482466327255761</c:v>
                </c:pt>
                <c:pt idx="311">
                  <c:v>24.354299837635697</c:v>
                </c:pt>
                <c:pt idx="312">
                  <c:v>23.227386222781206</c:v>
                </c:pt>
                <c:pt idx="313">
                  <c:v>22.101745885641652</c:v>
                </c:pt>
                <c:pt idx="314">
                  <c:v>20.97739884284772</c:v>
                </c:pt>
                <c:pt idx="315">
                  <c:v>19.854364725495905</c:v>
                </c:pt>
                <c:pt idx="316">
                  <c:v>18.732662779992076</c:v>
                </c:pt>
                <c:pt idx="317">
                  <c:v>17.612311868953487</c:v>
                </c:pt>
                <c:pt idx="318">
                  <c:v>16.493330472167379</c:v>
                </c:pt>
                <c:pt idx="319">
                  <c:v>15.375736687605595</c:v>
                </c:pt>
                <c:pt idx="320">
                  <c:v>14.259548232493877</c:v>
                </c:pt>
                <c:pt idx="321">
                  <c:v>13.311132127721489</c:v>
                </c:pt>
                <c:pt idx="322">
                  <c:v>12.530310961883501</c:v>
                </c:pt>
                <c:pt idx="323">
                  <c:v>11.750504338439702</c:v>
                </c:pt>
                <c:pt idx="324">
                  <c:v>10.971719834304528</c:v>
                </c:pt>
                <c:pt idx="325">
                  <c:v>10.193964842799007</c:v>
                </c:pt>
                <c:pt idx="326">
                  <c:v>9.4172465744560885</c:v>
                </c:pt>
                <c:pt idx="327">
                  <c:v>8.6415720578411204</c:v>
                </c:pt>
                <c:pt idx="328">
                  <c:v>7.86694814038629</c:v>
                </c:pt>
                <c:pt idx="329">
                  <c:v>7.0933814892393547</c:v>
                </c:pt>
                <c:pt idx="330">
                  <c:v>6.3208785921257666</c:v>
                </c:pt>
                <c:pt idx="331">
                  <c:v>5.5494457582240013</c:v>
                </c:pt>
                <c:pt idx="332">
                  <c:v>4.7790891190537668</c:v>
                </c:pt>
                <c:pt idx="333">
                  <c:v>4.0098146293764954</c:v>
                </c:pt>
                <c:pt idx="334">
                  <c:v>3.2416280681078873</c:v>
                </c:pt>
                <c:pt idx="335">
                  <c:v>2.4745350392421317</c:v>
                </c:pt>
                <c:pt idx="336">
                  <c:v>1.7085409727873131</c:v>
                </c:pt>
                <c:pt idx="337">
                  <c:v>0.94365112571172327</c:v>
                </c:pt>
                <c:pt idx="338">
                  <c:v>0.17987058290057206</c:v>
                </c:pt>
                <c:pt idx="339">
                  <c:v>-0.58279574187696104</c:v>
                </c:pt>
                <c:pt idx="340">
                  <c:v>-1.3443431049912336</c:v>
                </c:pt>
                <c:pt idx="341">
                  <c:v>-2.1047669319659712</c:v>
                </c:pt>
                <c:pt idx="342">
                  <c:v>-2.8640628164832926</c:v>
                </c:pt>
                <c:pt idx="343">
                  <c:v>-3.6222265193799652</c:v>
                </c:pt>
                <c:pt idx="344">
                  <c:v>-4.3792539676354254</c:v>
                </c:pt>
                <c:pt idx="345">
                  <c:v>-5.1351412533517786</c:v>
                </c:pt>
                <c:pt idx="346">
                  <c:v>-5.8898846327263241</c:v>
                </c:pt>
                <c:pt idx="347">
                  <c:v>-6.6434805250166971</c:v>
                </c:pt>
                <c:pt idx="348">
                  <c:v>-7.3779859412643853</c:v>
                </c:pt>
                <c:pt idx="349">
                  <c:v>-8.0934255982225025</c:v>
                </c:pt>
                <c:pt idx="350">
                  <c:v>-8.8077656504424358</c:v>
                </c:pt>
                <c:pt idx="351">
                  <c:v>-9.5210036688277917</c:v>
                </c:pt>
                <c:pt idx="352">
                  <c:v>-10.233137366436315</c:v>
                </c:pt>
                <c:pt idx="353">
                  <c:v>-10.944164597501997</c:v>
                </c:pt>
                <c:pt idx="354">
                  <c:v>-11.654083356453398</c:v>
                </c:pt>
                <c:pt idx="355">
                  <c:v>-12.362891776928539</c:v>
                </c:pt>
                <c:pt idx="356">
                  <c:v>-13.07058813078665</c:v>
                </c:pt>
                <c:pt idx="357">
                  <c:v>-13.777170827116969</c:v>
                </c:pt>
                <c:pt idx="358">
                  <c:v>-14.482638411244915</c:v>
                </c:pt>
                <c:pt idx="359">
                  <c:v>-15.186989563735882</c:v>
                </c:pt>
                <c:pt idx="360">
                  <c:v>-15.517135149190747</c:v>
                </c:pt>
                <c:pt idx="361">
                  <c:v>-15.473706099722182</c:v>
                </c:pt>
                <c:pt idx="362">
                  <c:v>-15.430419333396182</c:v>
                </c:pt>
                <c:pt idx="363">
                  <c:v>-15.387274237019696</c:v>
                </c:pt>
                <c:pt idx="364">
                  <c:v>-15.344270200745923</c:v>
                </c:pt>
                <c:pt idx="365">
                  <c:v>-15.30140661805231</c:v>
                </c:pt>
                <c:pt idx="366">
                  <c:v>-15.258682885718798</c:v>
                </c:pt>
                <c:pt idx="367">
                  <c:v>-15.216098403806152</c:v>
                </c:pt>
                <c:pt idx="368">
                  <c:v>-15.173652575634522</c:v>
                </c:pt>
                <c:pt idx="369">
                  <c:v>-15.131344807762133</c:v>
                </c:pt>
                <c:pt idx="370">
                  <c:v>-15.089174509964151</c:v>
                </c:pt>
                <c:pt idx="371">
                  <c:v>-15.047141095211717</c:v>
                </c:pt>
                <c:pt idx="372">
                  <c:v>-15.005243979651116</c:v>
                </c:pt>
                <c:pt idx="373">
                  <c:v>-14.963482582583119</c:v>
                </c:pt>
                <c:pt idx="374">
                  <c:v>-14.921856326442517</c:v>
                </c:pt>
                <c:pt idx="375">
                  <c:v>-14.880364636777726</c:v>
                </c:pt>
                <c:pt idx="376">
                  <c:v>-14.839006942230643</c:v>
                </c:pt>
                <c:pt idx="377">
                  <c:v>-14.797782674516576</c:v>
                </c:pt>
                <c:pt idx="378">
                  <c:v>-14.756691268404388</c:v>
                </c:pt>
                <c:pt idx="379">
                  <c:v>-14.715732161696751</c:v>
                </c:pt>
                <c:pt idx="380">
                  <c:v>-14.674904795210553</c:v>
                </c:pt>
                <c:pt idx="381">
                  <c:v>-14.63420861275748</c:v>
                </c:pt>
                <c:pt idx="382">
                  <c:v>-14.593643061124713</c:v>
                </c:pt>
                <c:pt idx="383">
                  <c:v>-14.553207590055779</c:v>
                </c:pt>
                <c:pt idx="384">
                  <c:v>-14.512901652231555</c:v>
                </c:pt>
                <c:pt idx="385">
                  <c:v>-14.472724703251453</c:v>
                </c:pt>
                <c:pt idx="386">
                  <c:v>-14.432676201614601</c:v>
                </c:pt>
                <c:pt idx="387">
                  <c:v>-14.392755608701396</c:v>
                </c:pt>
                <c:pt idx="388">
                  <c:v>-14.352962388754952</c:v>
                </c:pt>
                <c:pt idx="389">
                  <c:v>-14.313296008862887</c:v>
                </c:pt>
                <c:pt idx="390">
                  <c:v>-14.273755938939109</c:v>
                </c:pt>
                <c:pt idx="391">
                  <c:v>-14.234341651705815</c:v>
                </c:pt>
                <c:pt idx="392">
                  <c:v>-14.195052622675606</c:v>
                </c:pt>
                <c:pt idx="393">
                  <c:v>-14.15588833013368</c:v>
                </c:pt>
                <c:pt idx="394">
                  <c:v>-14.116848255120296</c:v>
                </c:pt>
                <c:pt idx="395">
                  <c:v>-14.077931881413177</c:v>
                </c:pt>
                <c:pt idx="396">
                  <c:v>-14.039138695510221</c:v>
                </c:pt>
                <c:pt idx="397">
                  <c:v>-14.000468186612244</c:v>
                </c:pt>
                <c:pt idx="398">
                  <c:v>-13.961919846605856</c:v>
                </c:pt>
                <c:pt idx="399">
                  <c:v>-13.923493170046482</c:v>
                </c:pt>
                <c:pt idx="400">
                  <c:v>-13.885187654141545</c:v>
                </c:pt>
                <c:pt idx="401">
                  <c:v>-13.847002798733676</c:v>
                </c:pt>
                <c:pt idx="402">
                  <c:v>-13.469158814892376</c:v>
                </c:pt>
                <c:pt idx="403">
                  <c:v>-13.103038688343231</c:v>
                </c:pt>
                <c:pt idx="404">
                  <c:v>-12.748170267460765</c:v>
                </c:pt>
                <c:pt idx="405">
                  <c:v>-12.404105341394772</c:v>
                </c:pt>
                <c:pt idx="406">
                  <c:v>-12.070418192416648</c:v>
                </c:pt>
                <c:pt idx="407">
                  <c:v>-11.746704249866463</c:v>
                </c:pt>
                <c:pt idx="408">
                  <c:v>-11.432578837606991</c:v>
                </c:pt>
                <c:pt idx="409">
                  <c:v>-11.127676007611305</c:v>
                </c:pt>
                <c:pt idx="410">
                  <c:v>-10.831647452959613</c:v>
                </c:pt>
                <c:pt idx="411">
                  <c:v>-10.544161494107721</c:v>
                </c:pt>
                <c:pt idx="412">
                  <c:v>-10.264902132819405</c:v>
                </c:pt>
                <c:pt idx="413">
                  <c:v>-9.9935681686343667</c:v>
                </c:pt>
                <c:pt idx="414">
                  <c:v>-9.7298723731778871</c:v>
                </c:pt>
                <c:pt idx="415">
                  <c:v>-9.4735407180120177</c:v>
                </c:pt>
                <c:pt idx="416">
                  <c:v>-9.2243116520853619</c:v>
                </c:pt>
                <c:pt idx="417">
                  <c:v>-8.981935425163023</c:v>
                </c:pt>
                <c:pt idx="418">
                  <c:v>-8.7461734539135598</c:v>
                </c:pt>
                <c:pt idx="419">
                  <c:v>-8.5167977275979982</c:v>
                </c:pt>
                <c:pt idx="420">
                  <c:v>-8.2935902505508601</c:v>
                </c:pt>
                <c:pt idx="421">
                  <c:v>-8.0763425188658466</c:v>
                </c:pt>
                <c:pt idx="422">
                  <c:v>-7.8648550289024426</c:v>
                </c:pt>
                <c:pt idx="423">
                  <c:v>-7.658936815415478</c:v>
                </c:pt>
                <c:pt idx="424">
                  <c:v>-7.4584050172793388</c:v>
                </c:pt>
                <c:pt idx="425">
                  <c:v>-7.2630844689340694</c:v>
                </c:pt>
                <c:pt idx="426">
                  <c:v>-7.0728073158226028</c:v>
                </c:pt>
                <c:pt idx="427">
                  <c:v>-6.8874126522187371</c:v>
                </c:pt>
                <c:pt idx="428">
                  <c:v>-6.7067461799649433</c:v>
                </c:pt>
                <c:pt idx="429">
                  <c:v>-6.5306598867485448</c:v>
                </c:pt>
                <c:pt idx="430">
                  <c:v>-6.3590117426456461</c:v>
                </c:pt>
                <c:pt idx="431">
                  <c:v>-6.1916654137545946</c:v>
                </c:pt>
                <c:pt idx="432">
                  <c:v>-6.0284899918257384</c:v>
                </c:pt>
                <c:pt idx="433">
                  <c:v>-5.8693597388726744</c:v>
                </c:pt>
                <c:pt idx="434">
                  <c:v>-5.7141538458221461</c:v>
                </c:pt>
                <c:pt idx="435">
                  <c:v>-5.5627562043262238</c:v>
                </c:pt>
                <c:pt idx="436">
                  <c:v>-5.4150551909216587</c:v>
                </c:pt>
                <c:pt idx="437">
                  <c:v>-5.2709434627778622</c:v>
                </c:pt>
                <c:pt idx="438">
                  <c:v>-5.1303177643270592</c:v>
                </c:pt>
                <c:pt idx="439">
                  <c:v>-4.9930787441185647</c:v>
                </c:pt>
                <c:pt idx="440">
                  <c:v>-4.8591307812835378</c:v>
                </c:pt>
                <c:pt idx="441">
                  <c:v>-4.7283818210379929</c:v>
                </c:pt>
                <c:pt idx="442">
                  <c:v>-4.6007432186899262</c:v>
                </c:pt>
                <c:pt idx="443">
                  <c:v>-4.4761295916518318</c:v>
                </c:pt>
                <c:pt idx="444">
                  <c:v>-4.3544586789926711</c:v>
                </c:pt>
                <c:pt idx="445">
                  <c:v>-4.2356512080937936</c:v>
                </c:pt>
                <c:pt idx="446">
                  <c:v>-4.1196307680014295</c:v>
                </c:pt>
                <c:pt idx="447">
                  <c:v>-4.006323689094704</c:v>
                </c:pt>
                <c:pt idx="448">
                  <c:v>-3.895658928712312</c:v>
                </c:pt>
                <c:pt idx="449">
                  <c:v>-3.787567962403759</c:v>
                </c:pt>
                <c:pt idx="450">
                  <c:v>-3.681984680491968</c:v>
                </c:pt>
                <c:pt idx="451">
                  <c:v>-3.5788452896537306</c:v>
                </c:pt>
                <c:pt idx="452">
                  <c:v>-3.4780882192426374</c:v>
                </c:pt>
                <c:pt idx="453">
                  <c:v>-3.3796540320961213</c:v>
                </c:pt>
                <c:pt idx="454">
                  <c:v>-3.2834853395840744</c:v>
                </c:pt>
                <c:pt idx="455">
                  <c:v>-3.1895267206711932</c:v>
                </c:pt>
                <c:pt idx="456">
                  <c:v>-3.0977246447790456</c:v>
                </c:pt>
                <c:pt idx="457">
                  <c:v>-3.0080273982466132</c:v>
                </c:pt>
                <c:pt idx="458">
                  <c:v>-2.9203850142000953</c:v>
                </c:pt>
                <c:pt idx="459">
                  <c:v>-2.8347492056539703</c:v>
                </c:pt>
                <c:pt idx="460">
                  <c:v>-2.7510733016757274</c:v>
                </c:pt>
                <c:pt idx="461">
                  <c:v>-2.6693121864565361</c:v>
                </c:pt>
                <c:pt idx="462">
                  <c:v>-2.5894222411392342</c:v>
                </c:pt>
                <c:pt idx="463">
                  <c:v>-2.5113612882635952</c:v>
                </c:pt>
                <c:pt idx="464">
                  <c:v>-2.4350885386968799</c:v>
                </c:pt>
                <c:pt idx="465">
                  <c:v>-2.3605645409251648</c:v>
                </c:pt>
                <c:pt idx="466">
                  <c:v>-2.2877511325880393</c:v>
                </c:pt>
                <c:pt idx="467">
                  <c:v>-2.2166113941457808</c:v>
                </c:pt>
                <c:pt idx="468">
                  <c:v>-2.1471096045744251</c:v>
                </c:pt>
                <c:pt idx="469">
                  <c:v>-2.0792111989898814</c:v>
                </c:pt>
                <c:pt idx="470">
                  <c:v>-2.01288272810771</c:v>
                </c:pt>
                <c:pt idx="471">
                  <c:v>-1.9480918194503682</c:v>
                </c:pt>
                <c:pt idx="472">
                  <c:v>-1.884807140218477</c:v>
                </c:pt>
                <c:pt idx="473">
                  <c:v>-1.8229983617471925</c:v>
                </c:pt>
                <c:pt idx="474">
                  <c:v>-1.7626361254731058</c:v>
                </c:pt>
                <c:pt idx="475">
                  <c:v>-1.7036920103409758</c:v>
                </c:pt>
                <c:pt idx="476">
                  <c:v>-1.646138501583452</c:v>
                </c:pt>
                <c:pt idx="477">
                  <c:v>-1.5899489608104904</c:v>
                </c:pt>
                <c:pt idx="478">
                  <c:v>-1.5350975973484273</c:v>
                </c:pt>
                <c:pt idx="479">
                  <c:v>-1.4815594407719246</c:v>
                </c:pt>
                <c:pt idx="480">
                  <c:v>-1.4293103145748771</c:v>
                </c:pt>
                <c:pt idx="481">
                  <c:v>-1.3783268109292131</c:v>
                </c:pt>
                <c:pt idx="482">
                  <c:v>-1.3285862664831349</c:v>
                </c:pt>
                <c:pt idx="483">
                  <c:v>-1.2800667391528309</c:v>
                </c:pt>
                <c:pt idx="484">
                  <c:v>-1.2327469858640225</c:v>
                </c:pt>
                <c:pt idx="485">
                  <c:v>-1.1866064412019346</c:v>
                </c:pt>
                <c:pt idx="486">
                  <c:v>-1.141625196930353</c:v>
                </c:pt>
                <c:pt idx="487">
                  <c:v>-1.0977839823423772</c:v>
                </c:pt>
                <c:pt idx="488">
                  <c:v>-1.0550641454073755</c:v>
                </c:pt>
                <c:pt idx="489">
                  <c:v>-1.013447634680348</c:v>
                </c:pt>
                <c:pt idx="490">
                  <c:v>-0.97291698194159182</c:v>
                </c:pt>
                <c:pt idx="491">
                  <c:v>-0.9334552855360887</c:v>
                </c:pt>
                <c:pt idx="492">
                  <c:v>-0.89504619438352173</c:v>
                </c:pt>
                <c:pt idx="493">
                  <c:v>-0.85767389263119365</c:v>
                </c:pt>
                <c:pt idx="494">
                  <c:v>-0.82132308492341533</c:v>
                </c:pt>
                <c:pt idx="495">
                  <c:v>-0.78597898226216489</c:v>
                </c:pt>
                <c:pt idx="496">
                  <c:v>-0.75162728843493809</c:v>
                </c:pt>
                <c:pt idx="497">
                  <c:v>-0.71825418698679888</c:v>
                </c:pt>
                <c:pt idx="498">
                  <c:v>-0.68584632871461038</c:v>
                </c:pt>
                <c:pt idx="499">
                  <c:v>-0.65439081966237111</c:v>
                </c:pt>
                <c:pt idx="500">
                  <c:v>-0.62387520959741294</c:v>
                </c:pt>
                <c:pt idx="501">
                  <c:v>-0.59428748094799433</c:v>
                </c:pt>
                <c:pt idx="502">
                  <c:v>-0.56561603818353756</c:v>
                </c:pt>
                <c:pt idx="503">
                  <c:v>-0.5378496976193563</c:v>
                </c:pt>
                <c:pt idx="504">
                  <c:v>-0.51097767762828905</c:v>
                </c:pt>
                <c:pt idx="505">
                  <c:v>-0.48498958924207164</c:v>
                </c:pt>
                <c:pt idx="506">
                  <c:v>-0.45987542712567281</c:v>
                </c:pt>
                <c:pt idx="507">
                  <c:v>-0.43562556090802945</c:v>
                </c:pt>
                <c:pt idx="508">
                  <c:v>-0.41223072685277318</c:v>
                </c:pt>
                <c:pt idx="509">
                  <c:v>-0.38968201985251588</c:v>
                </c:pt>
                <c:pt idx="510">
                  <c:v>-0.36797088573009273</c:v>
                </c:pt>
                <c:pt idx="511">
                  <c:v>-0.3470891138298286</c:v>
                </c:pt>
                <c:pt idx="512">
                  <c:v>-0.32702882988129789</c:v>
                </c:pt>
                <c:pt idx="513">
                  <c:v>-0.30778248911725153</c:v>
                </c:pt>
                <c:pt idx="514">
                  <c:v>-0.28934286962623468</c:v>
                </c:pt>
                <c:pt idx="515">
                  <c:v>-0.27170306591893573</c:v>
                </c:pt>
                <c:pt idx="516">
                  <c:v>-0.25485648268536298</c:v>
                </c:pt>
                <c:pt idx="517">
                  <c:v>-0.23879682871748392</c:v>
                </c:pt>
                <c:pt idx="518">
                  <c:v>-0.22351811096886587</c:v>
                </c:pt>
                <c:pt idx="519">
                  <c:v>-0.20901462871899468</c:v>
                </c:pt>
                <c:pt idx="520">
                  <c:v>-0.19528096780518825</c:v>
                </c:pt>
                <c:pt idx="521">
                  <c:v>-0.18231199487920371</c:v>
                </c:pt>
                <c:pt idx="522">
                  <c:v>-0.17010285163856773</c:v>
                </c:pt>
                <c:pt idx="523">
                  <c:v>-0.15864894897419868</c:v>
                </c:pt>
                <c:pt idx="524">
                  <c:v>-0.1479459609658641</c:v>
                </c:pt>
                <c:pt idx="525">
                  <c:v>-0.13798981864534424</c:v>
                </c:pt>
                <c:pt idx="526">
                  <c:v>-0.12877670343389538</c:v>
                </c:pt>
                <c:pt idx="527">
                  <c:v>-0.12030304014593966</c:v>
                </c:pt>
                <c:pt idx="528">
                  <c:v>-0.11256548943543171</c:v>
                </c:pt>
                <c:pt idx="529">
                  <c:v>-0.10556093954609187</c:v>
                </c:pt>
                <c:pt idx="530">
                  <c:v>-9.9286497213343775E-2</c:v>
                </c:pt>
                <c:pt idx="531">
                  <c:v>-9.373947755685233E-2</c:v>
                </c:pt>
                <c:pt idx="532">
                  <c:v>-8.8917392801407577E-2</c:v>
                </c:pt>
                <c:pt idx="533">
                  <c:v>-8.4817939674704343E-2</c:v>
                </c:pt>
                <c:pt idx="534">
                  <c:v>-8.1438985357812937E-2</c:v>
                </c:pt>
                <c:pt idx="535">
                  <c:v>-7.8778551911742073E-2</c:v>
                </c:pt>
                <c:pt idx="536">
                  <c:v>-7.6834799173437635E-2</c:v>
                </c:pt>
                <c:pt idx="537">
                  <c:v>-7.5606006205269666E-2</c:v>
                </c:pt>
                <c:pt idx="538">
                  <c:v>-7.5090551487021109E-2</c:v>
                </c:pt>
                <c:pt idx="539">
                  <c:v>-7.5286892146888981E-2</c:v>
                </c:pt>
                <c:pt idx="540">
                  <c:v>-7.6193542622480584E-2</c:v>
                </c:pt>
                <c:pt idx="541">
                  <c:v>-7.7809053208164294E-2</c:v>
                </c:pt>
                <c:pt idx="542">
                  <c:v>-8.0131988969120799E-2</c:v>
                </c:pt>
                <c:pt idx="543">
                  <c:v>-8.3160909480299985E-2</c:v>
                </c:pt>
                <c:pt idx="544">
                  <c:v>-8.6894349784575262E-2</c:v>
                </c:pt>
                <c:pt idx="545">
                  <c:v>-9.133080287073117E-2</c:v>
                </c:pt>
                <c:pt idx="546">
                  <c:v>-9.6468703864568031E-2</c:v>
                </c:pt>
                <c:pt idx="547">
                  <c:v>-0.10230641602104087</c:v>
                </c:pt>
                <c:pt idx="548">
                  <c:v>-0.10884221851394811</c:v>
                </c:pt>
                <c:pt idx="549">
                  <c:v>-0.11607429594898994</c:v>
                </c:pt>
                <c:pt idx="550">
                  <c:v>-0.12400072947779814</c:v>
                </c:pt>
                <c:pt idx="551">
                  <c:v>-0.13261948936289969</c:v>
                </c:pt>
                <c:pt idx="552">
                  <c:v>-0.14192842883263224</c:v>
                </c:pt>
                <c:pt idx="553">
                  <c:v>-0.15192527906625111</c:v>
                </c:pt>
                <c:pt idx="554">
                  <c:v>-0.16260764515864451</c:v>
                </c:pt>
                <c:pt idx="555">
                  <c:v>-0.17397300292777149</c:v>
                </c:pt>
                <c:pt idx="556">
                  <c:v>-0.18601869644360033</c:v>
                </c:pt>
                <c:pt idx="557">
                  <c:v>-0.1987419361732389</c:v>
                </c:pt>
                <c:pt idx="558">
                  <c:v>-0.21213979765204574</c:v>
                </c:pt>
                <c:pt idx="559">
                  <c:v>-0.2262092206042309</c:v>
                </c:pt>
                <c:pt idx="560">
                  <c:v>-0.24094700844854103</c:v>
                </c:pt>
                <c:pt idx="561">
                  <c:v>-0.25634982813505997</c:v>
                </c:pt>
                <c:pt idx="562">
                  <c:v>-0.27241421026802581</c:v>
                </c:pt>
                <c:pt idx="563">
                  <c:v>-0.28913654947701595</c:v>
                </c:pt>
                <c:pt idx="564">
                  <c:v>-0.306513105005078</c:v>
                </c:pt>
                <c:pt idx="565">
                  <c:v>-0.32454000148753209</c:v>
                </c:pt>
                <c:pt idx="566">
                  <c:v>-0.34321322989944075</c:v>
                </c:pt>
                <c:pt idx="567">
                  <c:v>-0.3625286486532438</c:v>
                </c:pt>
                <c:pt idx="568">
                  <c:v>-0.38248198483095797</c:v>
                </c:pt>
                <c:pt idx="569">
                  <c:v>-0.40306883553770667</c:v>
                </c:pt>
                <c:pt idx="570">
                  <c:v>-0.4242846693653084</c:v>
                </c:pt>
                <c:pt idx="571">
                  <c:v>-0.4461248279562593</c:v>
                </c:pt>
                <c:pt idx="572">
                  <c:v>-0.46858452765977138</c:v>
                </c:pt>
                <c:pt idx="573">
                  <c:v>-0.49165886127261976</c:v>
                </c:pt>
                <c:pt idx="574">
                  <c:v>-0.5153427998584581</c:v>
                </c:pt>
                <c:pt idx="575">
                  <c:v>-0.5396311946400062</c:v>
                </c:pt>
                <c:pt idx="576">
                  <c:v>-0.56451877895913349</c:v>
                </c:pt>
                <c:pt idx="577">
                  <c:v>-0.59000017030037455</c:v>
                </c:pt>
                <c:pt idx="578">
                  <c:v>-0.61606987237384603</c:v>
                </c:pt>
                <c:pt idx="579">
                  <c:v>-0.64272227725387832</c:v>
                </c:pt>
                <c:pt idx="580">
                  <c:v>-0.66995166756998814</c:v>
                </c:pt>
                <c:pt idx="581">
                  <c:v>-0.69775221874705318</c:v>
                </c:pt>
                <c:pt idx="582">
                  <c:v>-0.72611800129176762</c:v>
                </c:pt>
                <c:pt idx="583">
                  <c:v>-0.75504298312263129</c:v>
                </c:pt>
                <c:pt idx="584">
                  <c:v>-0.78452103194086875</c:v>
                </c:pt>
                <c:pt idx="585">
                  <c:v>-0.81454591763980533</c:v>
                </c:pt>
                <c:pt idx="586">
                  <c:v>-0.84511131475033174</c:v>
                </c:pt>
                <c:pt idx="587">
                  <c:v>-0.87621080492017756</c:v>
                </c:pt>
                <c:pt idx="588">
                  <c:v>-0.90783787942479688</c:v>
                </c:pt>
                <c:pt idx="589">
                  <c:v>-0.93998594170772443</c:v>
                </c:pt>
                <c:pt idx="590">
                  <c:v>-0.9726483099483354</c:v>
                </c:pt>
                <c:pt idx="591">
                  <c:v>-1.0058182196549801</c:v>
                </c:pt>
                <c:pt idx="592">
                  <c:v>-1.039488826281509</c:v>
                </c:pt>
                <c:pt idx="593">
                  <c:v>-1.0736532078652499</c:v>
                </c:pt>
                <c:pt idx="594">
                  <c:v>-1.1083043676845334</c:v>
                </c:pt>
                <c:pt idx="595">
                  <c:v>-1.1434352369338836</c:v>
                </c:pt>
                <c:pt idx="596">
                  <c:v>-1.1790386774150394</c:v>
                </c:pt>
                <c:pt idx="597">
                  <c:v>-1.2151074842419805</c:v>
                </c:pt>
                <c:pt idx="598">
                  <c:v>-1.251634388558168</c:v>
                </c:pt>
                <c:pt idx="599">
                  <c:v>-1.2886120602642321</c:v>
                </c:pt>
                <c:pt idx="600">
                  <c:v>-1.3260331107543624</c:v>
                </c:pt>
                <c:pt idx="601">
                  <c:v>-1.3638900956596758</c:v>
                </c:pt>
                <c:pt idx="602">
                  <c:v>-1.4021755175968689</c:v>
                </c:pt>
                <c:pt idx="603">
                  <c:v>-1.4408818289204606</c:v>
                </c:pt>
                <c:pt idx="604">
                  <c:v>-1.4800014344769981</c:v>
                </c:pt>
                <c:pt idx="605">
                  <c:v>-1.5195266943595587</c:v>
                </c:pt>
                <c:pt idx="606">
                  <c:v>-1.5594499266609592</c:v>
                </c:pt>
                <c:pt idx="607">
                  <c:v>-1.5997634102240779</c:v>
                </c:pt>
                <c:pt idx="608">
                  <c:v>-1.6404593873877207</c:v>
                </c:pt>
                <c:pt idx="609">
                  <c:v>-1.6815300667264892</c:v>
                </c:pt>
                <c:pt idx="610">
                  <c:v>-1.7229676257831332</c:v>
                </c:pt>
                <c:pt idx="611">
                  <c:v>-1.7647642137918951</c:v>
                </c:pt>
                <c:pt idx="612">
                  <c:v>-1.8069119543913725</c:v>
                </c:pt>
                <c:pt idx="613">
                  <c:v>-1.8494029483254573</c:v>
                </c:pt>
                <c:pt idx="614">
                  <c:v>-1.8922292761309374</c:v>
                </c:pt>
                <c:pt idx="615">
                  <c:v>-1.9353830008103592</c:v>
                </c:pt>
                <c:pt idx="616">
                  <c:v>-1.9788561704888035</c:v>
                </c:pt>
                <c:pt idx="617">
                  <c:v>-2.0226408210532201</c:v>
                </c:pt>
                <c:pt idx="618">
                  <c:v>-2.0667289787730287</c:v>
                </c:pt>
                <c:pt idx="619">
                  <c:v>-2.1111126629006973</c:v>
                </c:pt>
                <c:pt idx="620">
                  <c:v>-2.1557838882510665</c:v>
                </c:pt>
                <c:pt idx="621">
                  <c:v>-2.2007346677581707</c:v>
                </c:pt>
                <c:pt idx="622">
                  <c:v>-2.2459570150083996</c:v>
                </c:pt>
                <c:pt idx="623">
                  <c:v>-2.2914429467488255</c:v>
                </c:pt>
                <c:pt idx="624">
                  <c:v>-2.3371844853695816</c:v>
                </c:pt>
                <c:pt idx="625">
                  <c:v>-2.3831736613591747</c:v>
                </c:pt>
                <c:pt idx="626">
                  <c:v>-2.4294025157317169</c:v>
                </c:pt>
                <c:pt idx="627">
                  <c:v>-2.4758631024249924</c:v>
                </c:pt>
                <c:pt idx="628">
                  <c:v>-2.5225474906684213</c:v>
                </c:pt>
                <c:pt idx="629">
                  <c:v>-2.5694477673199088</c:v>
                </c:pt>
                <c:pt idx="630">
                  <c:v>-2.6165560391706904</c:v>
                </c:pt>
                <c:pt idx="631">
                  <c:v>-2.6638644352172567</c:v>
                </c:pt>
                <c:pt idx="632">
                  <c:v>-2.7113651088995194</c:v>
                </c:pt>
                <c:pt idx="633">
                  <c:v>-2.7590502403043735</c:v>
                </c:pt>
                <c:pt idx="634">
                  <c:v>-2.8069120383338806</c:v>
                </c:pt>
                <c:pt idx="635">
                  <c:v>-2.854942742837316</c:v>
                </c:pt>
                <c:pt idx="636">
                  <c:v>-2.9031346267063616</c:v>
                </c:pt>
                <c:pt idx="637">
                  <c:v>-2.9514799979327511</c:v>
                </c:pt>
                <c:pt idx="638">
                  <c:v>-2.9999712016277282</c:v>
                </c:pt>
                <c:pt idx="639">
                  <c:v>-3.0486006220027075</c:v>
                </c:pt>
                <c:pt idx="640">
                  <c:v>-3.0973606843105443</c:v>
                </c:pt>
                <c:pt idx="641">
                  <c:v>-3.1462438567468749</c:v>
                </c:pt>
                <c:pt idx="642">
                  <c:v>-3.1952426523110287</c:v>
                </c:pt>
                <c:pt idx="643">
                  <c:v>-3.2443496306260249</c:v>
                </c:pt>
                <c:pt idx="644">
                  <c:v>-3.2935573997172174</c:v>
                </c:pt>
                <c:pt idx="645">
                  <c:v>-3.3428586177491848</c:v>
                </c:pt>
                <c:pt idx="646">
                  <c:v>-3.3922459947204868</c:v>
                </c:pt>
                <c:pt idx="647">
                  <c:v>-3.4417122941159684</c:v>
                </c:pt>
                <c:pt idx="648">
                  <c:v>-3.4912503345162698</c:v>
                </c:pt>
                <c:pt idx="649">
                  <c:v>-3.5408529911643374</c:v>
                </c:pt>
                <c:pt idx="650">
                  <c:v>-3.5905131974886104</c:v>
                </c:pt>
                <c:pt idx="651">
                  <c:v>-3.640223946582767</c:v>
                </c:pt>
                <c:pt idx="652">
                  <c:v>-3.6899782926417855</c:v>
                </c:pt>
                <c:pt idx="653">
                  <c:v>-3.7397693523542395</c:v>
                </c:pt>
                <c:pt idx="654">
                  <c:v>-3.7895903062506635</c:v>
                </c:pt>
                <c:pt idx="655">
                  <c:v>-3.8394344000079506</c:v>
                </c:pt>
                <c:pt idx="656">
                  <c:v>-3.8892949457097314</c:v>
                </c:pt>
                <c:pt idx="657">
                  <c:v>-3.9391653230626869</c:v>
                </c:pt>
                <c:pt idx="658">
                  <c:v>-3.9890389805688429</c:v>
                </c:pt>
                <c:pt idx="659">
                  <c:v>-4.0389094366538636</c:v>
                </c:pt>
                <c:pt idx="660">
                  <c:v>-4.0887702807514259</c:v>
                </c:pt>
                <c:pt idx="661">
                  <c:v>-4.13861517434378</c:v>
                </c:pt>
                <c:pt idx="662">
                  <c:v>-4.188437851958593</c:v>
                </c:pt>
                <c:pt idx="663">
                  <c:v>-4.2382321221222439</c:v>
                </c:pt>
                <c:pt idx="664">
                  <c:v>-4.2879918682697751</c:v>
                </c:pt>
                <c:pt idx="665">
                  <c:v>-4.3377110496116389</c:v>
                </c:pt>
                <c:pt idx="666">
                  <c:v>-4.3873837019575426</c:v>
                </c:pt>
                <c:pt idx="667">
                  <c:v>-4.4370039384975746</c:v>
                </c:pt>
                <c:pt idx="668">
                  <c:v>-4.4865659505409488</c:v>
                </c:pt>
                <c:pt idx="669">
                  <c:v>-4.5360640082126187</c:v>
                </c:pt>
                <c:pt idx="670">
                  <c:v>-4.5854924611081032</c:v>
                </c:pt>
                <c:pt idx="671">
                  <c:v>-4.6348457389068729</c:v>
                </c:pt>
                <c:pt idx="672">
                  <c:v>-4.6841183519446563</c:v>
                </c:pt>
                <c:pt idx="673">
                  <c:v>-4.7333048917450151</c:v>
                </c:pt>
                <c:pt idx="674">
                  <c:v>-4.7824000315106749</c:v>
                </c:pt>
                <c:pt idx="675">
                  <c:v>-4.8313985265749118</c:v>
                </c:pt>
                <c:pt idx="676">
                  <c:v>-4.8802952148135734</c:v>
                </c:pt>
                <c:pt idx="677">
                  <c:v>-4.9290850170180711</c:v>
                </c:pt>
                <c:pt idx="678">
                  <c:v>-4.9777629372298851</c:v>
                </c:pt>
                <c:pt idx="679">
                  <c:v>-5.0263240630370545</c:v>
                </c:pt>
                <c:pt idx="680">
                  <c:v>-5.0747635658331616</c:v>
                </c:pt>
                <c:pt idx="681">
                  <c:v>-5.1230767010393015</c:v>
                </c:pt>
                <c:pt idx="682">
                  <c:v>-5.1712588082896289</c:v>
                </c:pt>
                <c:pt idx="683">
                  <c:v>-5.2193053115809711</c:v>
                </c:pt>
                <c:pt idx="684">
                  <c:v>-5.2672117193870784</c:v>
                </c:pt>
                <c:pt idx="685">
                  <c:v>-5.3149736247381263</c:v>
                </c:pt>
                <c:pt idx="686">
                  <c:v>-5.3625867052659739</c:v>
                </c:pt>
                <c:pt idx="687">
                  <c:v>-5.4100467232158529</c:v>
                </c:pt>
                <c:pt idx="688">
                  <c:v>-5.4573495254250197</c:v>
                </c:pt>
                <c:pt idx="689">
                  <c:v>-5.5044910432690068</c:v>
                </c:pt>
                <c:pt idx="690">
                  <c:v>-5.5514672925761381</c:v>
                </c:pt>
                <c:pt idx="691">
                  <c:v>-5.5982743735108214</c:v>
                </c:pt>
                <c:pt idx="692">
                  <c:v>-5.6449084704263832</c:v>
                </c:pt>
                <c:pt idx="693">
                  <c:v>-5.691365851687987</c:v>
                </c:pt>
                <c:pt idx="694">
                  <c:v>-5.7376428694663222</c:v>
                </c:pt>
                <c:pt idx="695">
                  <c:v>-5.78373595950272</c:v>
                </c:pt>
                <c:pt idx="696">
                  <c:v>-5.8296416408463232</c:v>
                </c:pt>
                <c:pt idx="697">
                  <c:v>-5.8753565155639853</c:v>
                </c:pt>
                <c:pt idx="698">
                  <c:v>-5.920877268423574</c:v>
                </c:pt>
                <c:pt idx="699">
                  <c:v>-5.9662006665513063</c:v>
                </c:pt>
                <c:pt idx="700">
                  <c:v>-6.0113235590638361</c:v>
                </c:pt>
                <c:pt idx="701">
                  <c:v>-6.0562428766756851</c:v>
                </c:pt>
                <c:pt idx="702">
                  <c:v>-6.1009556312827815</c:v>
                </c:pt>
                <c:pt idx="703">
                  <c:v>-6.1454589155226946</c:v>
                </c:pt>
                <c:pt idx="704">
                  <c:v>-6.1897499023122835</c:v>
                </c:pt>
                <c:pt idx="705">
                  <c:v>-6.2338258443633991</c:v>
                </c:pt>
                <c:pt idx="706">
                  <c:v>-6.2776840736773334</c:v>
                </c:pt>
                <c:pt idx="707">
                  <c:v>-6.3213220010186824</c:v>
                </c:pt>
                <c:pt idx="708">
                  <c:v>-6.3647371153692509</c:v>
                </c:pt>
                <c:pt idx="709">
                  <c:v>-6.4079269833626906</c:v>
                </c:pt>
                <c:pt idx="710">
                  <c:v>-6.4508892487005633</c:v>
                </c:pt>
                <c:pt idx="711">
                  <c:v>-6.4936216315504067</c:v>
                </c:pt>
                <c:pt idx="712">
                  <c:v>-6.5361219279265166</c:v>
                </c:pt>
                <c:pt idx="713">
                  <c:v>-6.5783880090540761</c:v>
                </c:pt>
                <c:pt idx="714">
                  <c:v>-6.620417820717293</c:v>
                </c:pt>
                <c:pt idx="715">
                  <c:v>-6.6622093825921329</c:v>
                </c:pt>
                <c:pt idx="716">
                  <c:v>-6.7037607875643346</c:v>
                </c:pt>
                <c:pt idx="717">
                  <c:v>-6.7450702010333421</c:v>
                </c:pt>
                <c:pt idx="718">
                  <c:v>-6.7861358602027044</c:v>
                </c:pt>
                <c:pt idx="719">
                  <c:v>-6.8269560733576533</c:v>
                </c:pt>
                <c:pt idx="720">
                  <c:v>-6.8675292191304091</c:v>
                </c:pt>
                <c:pt idx="721">
                  <c:v>-6.9078537457537985</c:v>
                </c:pt>
                <c:pt idx="722">
                  <c:v>-6.9479281703039018</c:v>
                </c:pt>
                <c:pt idx="723">
                  <c:v>-6.9877510779321073</c:v>
                </c:pt>
                <c:pt idx="724">
                  <c:v>-7.0273211210874118</c:v>
                </c:pt>
                <c:pt idx="725">
                  <c:v>-7.0666370187293186</c:v>
                </c:pt>
                <c:pt idx="726">
                  <c:v>-7.1056975555319948</c:v>
                </c:pt>
                <c:pt idx="727">
                  <c:v>-7.144501581080303</c:v>
                </c:pt>
                <c:pt idx="728">
                  <c:v>-7.1830480090581137</c:v>
                </c:pt>
                <c:pt idx="729">
                  <c:v>-7.2213358164295833</c:v>
                </c:pt>
                <c:pt idx="730">
                  <c:v>-7.2593640426138153</c:v>
                </c:pt>
                <c:pt idx="731">
                  <c:v>-7.2971317886535205</c:v>
                </c:pt>
                <c:pt idx="732">
                  <c:v>-7.3346382163781039</c:v>
                </c:pt>
                <c:pt idx="733">
                  <c:v>-7.3718825475617802</c:v>
                </c:pt>
                <c:pt idx="734">
                  <c:v>-7.4088640630770959</c:v>
                </c:pt>
                <c:pt idx="735">
                  <c:v>-7.4455821020444946</c:v>
                </c:pt>
                <c:pt idx="736">
                  <c:v>-7.4820360609782171</c:v>
                </c:pt>
                <c:pt idx="737">
                  <c:v>-7.518225392929172</c:v>
                </c:pt>
                <c:pt idx="738">
                  <c:v>-7.5541496066251685</c:v>
                </c:pt>
                <c:pt idx="739">
                  <c:v>-7.554185193277223</c:v>
                </c:pt>
                <c:pt idx="740">
                  <c:v>-7.5542207796661947</c:v>
                </c:pt>
                <c:pt idx="741">
                  <c:v>-7.5542563657920896</c:v>
                </c:pt>
                <c:pt idx="742">
                  <c:v>-7.5542919516549025</c:v>
                </c:pt>
                <c:pt idx="743">
                  <c:v>-7.554327537254629</c:v>
                </c:pt>
                <c:pt idx="744">
                  <c:v>-7.5543631225912726</c:v>
                </c:pt>
                <c:pt idx="745">
                  <c:v>-7.5543987076648325</c:v>
                </c:pt>
                <c:pt idx="746">
                  <c:v>-7.5544342924753094</c:v>
                </c:pt>
                <c:pt idx="747">
                  <c:v>-7.5544698770227061</c:v>
                </c:pt>
                <c:pt idx="748">
                  <c:v>-7.5545054613070075</c:v>
                </c:pt>
                <c:pt idx="749">
                  <c:v>-7.5545410453282322</c:v>
                </c:pt>
                <c:pt idx="750">
                  <c:v>-7.5545766290863687</c:v>
                </c:pt>
                <c:pt idx="751">
                  <c:v>-7.5546122125814197</c:v>
                </c:pt>
                <c:pt idx="752">
                  <c:v>-7.5546477958133842</c:v>
                </c:pt>
                <c:pt idx="753">
                  <c:v>-7.554683378782264</c:v>
                </c:pt>
                <c:pt idx="754">
                  <c:v>-7.5547189614880539</c:v>
                </c:pt>
                <c:pt idx="755">
                  <c:v>-7.5547545439307573</c:v>
                </c:pt>
                <c:pt idx="756">
                  <c:v>-7.5547901261103725</c:v>
                </c:pt>
                <c:pt idx="757">
                  <c:v>-7.5548257080269057</c:v>
                </c:pt>
                <c:pt idx="758">
                  <c:v>-7.5548612896803427</c:v>
                </c:pt>
                <c:pt idx="759">
                  <c:v>-7.554896871070695</c:v>
                </c:pt>
                <c:pt idx="760">
                  <c:v>-7.5549324521979493</c:v>
                </c:pt>
                <c:pt idx="761">
                  <c:v>-7.5549680330621198</c:v>
                </c:pt>
                <c:pt idx="762">
                  <c:v>-7.5550036136632057</c:v>
                </c:pt>
                <c:pt idx="763">
                  <c:v>-7.5550391940011972</c:v>
                </c:pt>
                <c:pt idx="764">
                  <c:v>-7.5550747740760933</c:v>
                </c:pt>
                <c:pt idx="765">
                  <c:v>-7.5551103538879012</c:v>
                </c:pt>
                <c:pt idx="766">
                  <c:v>-7.5551459334366129</c:v>
                </c:pt>
                <c:pt idx="767">
                  <c:v>-7.5551815127222426</c:v>
                </c:pt>
                <c:pt idx="768">
                  <c:v>-7.5552170917447743</c:v>
                </c:pt>
                <c:pt idx="769">
                  <c:v>-7.5552526705042098</c:v>
                </c:pt>
                <c:pt idx="770">
                  <c:v>-7.5552882490005526</c:v>
                </c:pt>
                <c:pt idx="771">
                  <c:v>-7.5553238272338072</c:v>
                </c:pt>
                <c:pt idx="772">
                  <c:v>-7.555359405203963</c:v>
                </c:pt>
                <c:pt idx="773">
                  <c:v>-7.5553949829110252</c:v>
                </c:pt>
                <c:pt idx="774">
                  <c:v>-7.5554305603549912</c:v>
                </c:pt>
                <c:pt idx="775">
                  <c:v>-7.5554661375358689</c:v>
                </c:pt>
                <c:pt idx="776">
                  <c:v>-7.555501714453646</c:v>
                </c:pt>
                <c:pt idx="777">
                  <c:v>-7.5555372911083261</c:v>
                </c:pt>
                <c:pt idx="778">
                  <c:v>-7.5555728674999125</c:v>
                </c:pt>
                <c:pt idx="779">
                  <c:v>-7.5556084436283992</c:v>
                </c:pt>
                <c:pt idx="780">
                  <c:v>-7.5556440194937906</c:v>
                </c:pt>
                <c:pt idx="781">
                  <c:v>-7.5556795950960822</c:v>
                </c:pt>
                <c:pt idx="782">
                  <c:v>-7.5557151704352767</c:v>
                </c:pt>
                <c:pt idx="783">
                  <c:v>-7.5557507455113786</c:v>
                </c:pt>
                <c:pt idx="784">
                  <c:v>-7.5557863203243727</c:v>
                </c:pt>
                <c:pt idx="785">
                  <c:v>-7.5558218948742706</c:v>
                </c:pt>
                <c:pt idx="786">
                  <c:v>-7.5558574691610723</c:v>
                </c:pt>
                <c:pt idx="787">
                  <c:v>-7.5558930431847715</c:v>
                </c:pt>
                <c:pt idx="788">
                  <c:v>-7.5559286169453763</c:v>
                </c:pt>
                <c:pt idx="789">
                  <c:v>-7.5559641904428752</c:v>
                </c:pt>
                <c:pt idx="790">
                  <c:v>-7.5559997636772751</c:v>
                </c:pt>
                <c:pt idx="791">
                  <c:v>-7.5560353366485682</c:v>
                </c:pt>
                <c:pt idx="792">
                  <c:v>-7.5560709093567686</c:v>
                </c:pt>
                <c:pt idx="793">
                  <c:v>-7.5561064818018595</c:v>
                </c:pt>
                <c:pt idx="794">
                  <c:v>-7.5561420539838515</c:v>
                </c:pt>
                <c:pt idx="795">
                  <c:v>-7.5561776259027376</c:v>
                </c:pt>
                <c:pt idx="796">
                  <c:v>-7.5562131975585229</c:v>
                </c:pt>
                <c:pt idx="797">
                  <c:v>-7.556248768951205</c:v>
                </c:pt>
                <c:pt idx="798">
                  <c:v>-7.5562843400807802</c:v>
                </c:pt>
                <c:pt idx="799">
                  <c:v>-7.5563199109472547</c:v>
                </c:pt>
                <c:pt idx="800">
                  <c:v>-7.5563554815506215</c:v>
                </c:pt>
                <c:pt idx="801">
                  <c:v>-7.5563910518908788</c:v>
                </c:pt>
                <c:pt idx="802">
                  <c:v>-7.556426621968038</c:v>
                </c:pt>
                <c:pt idx="803">
                  <c:v>-7.5564621917820869</c:v>
                </c:pt>
                <c:pt idx="804">
                  <c:v>-7.5564977613330342</c:v>
                </c:pt>
                <c:pt idx="805">
                  <c:v>-7.5565333306208746</c:v>
                </c:pt>
                <c:pt idx="806">
                  <c:v>-7.5565688996456046</c:v>
                </c:pt>
                <c:pt idx="807">
                  <c:v>-7.5566044684072251</c:v>
                </c:pt>
                <c:pt idx="808">
                  <c:v>-7.5566400369057432</c:v>
                </c:pt>
                <c:pt idx="809">
                  <c:v>-7.556675605141149</c:v>
                </c:pt>
                <c:pt idx="810">
                  <c:v>-7.5567111731134489</c:v>
                </c:pt>
                <c:pt idx="811">
                  <c:v>-7.5567467408226374</c:v>
                </c:pt>
                <c:pt idx="812">
                  <c:v>-7.5567823082687164</c:v>
                </c:pt>
                <c:pt idx="813">
                  <c:v>-7.5568178754516868</c:v>
                </c:pt>
                <c:pt idx="814">
                  <c:v>-7.5568534423715441</c:v>
                </c:pt>
                <c:pt idx="815">
                  <c:v>-7.5568890090282963</c:v>
                </c:pt>
                <c:pt idx="816">
                  <c:v>-7.5569245754219292</c:v>
                </c:pt>
                <c:pt idx="817">
                  <c:v>-7.5569601415524605</c:v>
                </c:pt>
                <c:pt idx="818">
                  <c:v>-7.5569957074198753</c:v>
                </c:pt>
                <c:pt idx="819">
                  <c:v>-7.5570312730241795</c:v>
                </c:pt>
                <c:pt idx="820">
                  <c:v>-7.5570668383653645</c:v>
                </c:pt>
                <c:pt idx="821">
                  <c:v>-7.5571024034434426</c:v>
                </c:pt>
                <c:pt idx="822">
                  <c:v>-7.5571379682584041</c:v>
                </c:pt>
                <c:pt idx="823">
                  <c:v>-7.5571735328102543</c:v>
                </c:pt>
                <c:pt idx="824">
                  <c:v>-7.5572090970989949</c:v>
                </c:pt>
                <c:pt idx="825">
                  <c:v>-7.5572446611246127</c:v>
                </c:pt>
                <c:pt idx="826">
                  <c:v>-7.5572802248871236</c:v>
                </c:pt>
                <c:pt idx="827">
                  <c:v>-7.5573157883865125</c:v>
                </c:pt>
                <c:pt idx="828">
                  <c:v>-7.5573513516227946</c:v>
                </c:pt>
                <c:pt idx="829">
                  <c:v>-7.5573869145959502</c:v>
                </c:pt>
                <c:pt idx="830">
                  <c:v>-7.557422477305999</c:v>
                </c:pt>
                <c:pt idx="831">
                  <c:v>-7.5574580397529223</c:v>
                </c:pt>
                <c:pt idx="832">
                  <c:v>-7.5574936019367289</c:v>
                </c:pt>
                <c:pt idx="833">
                  <c:v>-7.557529163857426</c:v>
                </c:pt>
                <c:pt idx="834">
                  <c:v>-7.5575647255150029</c:v>
                </c:pt>
                <c:pt idx="835">
                  <c:v>-7.5576002869094596</c:v>
                </c:pt>
                <c:pt idx="836">
                  <c:v>-7.5576358480407944</c:v>
                </c:pt>
                <c:pt idx="837">
                  <c:v>-7.5576714089090196</c:v>
                </c:pt>
                <c:pt idx="838">
                  <c:v>-7.5577069695141157</c:v>
                </c:pt>
                <c:pt idx="839">
                  <c:v>-7.5577425298560943</c:v>
                </c:pt>
                <c:pt idx="840">
                  <c:v>-7.5577780899349527</c:v>
                </c:pt>
                <c:pt idx="841">
                  <c:v>-7.5578136497506927</c:v>
                </c:pt>
                <c:pt idx="842">
                  <c:v>-7.5578492093033107</c:v>
                </c:pt>
                <c:pt idx="843">
                  <c:v>-7.5578847685928103</c:v>
                </c:pt>
                <c:pt idx="844">
                  <c:v>-7.5579203276191818</c:v>
                </c:pt>
                <c:pt idx="845">
                  <c:v>-7.5579558863824348</c:v>
                </c:pt>
                <c:pt idx="846">
                  <c:v>-7.557991444882564</c:v>
                </c:pt>
                <c:pt idx="847">
                  <c:v>-7.5580270031195731</c:v>
                </c:pt>
                <c:pt idx="848">
                  <c:v>-7.5580625610934575</c:v>
                </c:pt>
                <c:pt idx="849">
                  <c:v>-7.5580981188042156</c:v>
                </c:pt>
                <c:pt idx="850">
                  <c:v>-7.5581336762518516</c:v>
                </c:pt>
                <c:pt idx="851">
                  <c:v>-7.558169233436363</c:v>
                </c:pt>
                <c:pt idx="852">
                  <c:v>-7.5582047903577507</c:v>
                </c:pt>
                <c:pt idx="853">
                  <c:v>-7.5582403470160129</c:v>
                </c:pt>
                <c:pt idx="854">
                  <c:v>-7.5582759034111504</c:v>
                </c:pt>
                <c:pt idx="855">
                  <c:v>-7.5583114595431597</c:v>
                </c:pt>
                <c:pt idx="856">
                  <c:v>-7.5583470154120462</c:v>
                </c:pt>
                <c:pt idx="857">
                  <c:v>-7.558382571017801</c:v>
                </c:pt>
                <c:pt idx="858">
                  <c:v>-7.5584181263604329</c:v>
                </c:pt>
                <c:pt idx="859">
                  <c:v>-7.5584536814399366</c:v>
                </c:pt>
                <c:pt idx="860">
                  <c:v>-7.5584892362563094</c:v>
                </c:pt>
                <c:pt idx="861">
                  <c:v>-7.5585247908095576</c:v>
                </c:pt>
                <c:pt idx="862">
                  <c:v>-7.5585603450996759</c:v>
                </c:pt>
                <c:pt idx="863">
                  <c:v>-7.558595899126666</c:v>
                </c:pt>
                <c:pt idx="864">
                  <c:v>-7.5586314528905314</c:v>
                </c:pt>
                <c:pt idx="865">
                  <c:v>-7.558667006391258</c:v>
                </c:pt>
                <c:pt idx="866">
                  <c:v>-7.5587025596288582</c:v>
                </c:pt>
                <c:pt idx="867">
                  <c:v>-7.5587381126033257</c:v>
                </c:pt>
                <c:pt idx="868">
                  <c:v>-7.5587736653146678</c:v>
                </c:pt>
                <c:pt idx="869">
                  <c:v>-7.5588092177628736</c:v>
                </c:pt>
                <c:pt idx="870">
                  <c:v>-7.5588447699479522</c:v>
                </c:pt>
                <c:pt idx="871">
                  <c:v>-7.5588803218698972</c:v>
                </c:pt>
                <c:pt idx="872">
                  <c:v>-7.5589158735287052</c:v>
                </c:pt>
                <c:pt idx="873">
                  <c:v>-7.5589514249243814</c:v>
                </c:pt>
                <c:pt idx="874">
                  <c:v>-7.5589869760569277</c:v>
                </c:pt>
                <c:pt idx="875">
                  <c:v>-7.5590225269263396</c:v>
                </c:pt>
                <c:pt idx="876">
                  <c:v>-7.5590580775326197</c:v>
                </c:pt>
                <c:pt idx="877">
                  <c:v>-7.559093627875761</c:v>
                </c:pt>
                <c:pt idx="878">
                  <c:v>-7.5591291779557732</c:v>
                </c:pt>
                <c:pt idx="879">
                  <c:v>-7.5591647277726457</c:v>
                </c:pt>
                <c:pt idx="880">
                  <c:v>-7.5592002773263856</c:v>
                </c:pt>
                <c:pt idx="881">
                  <c:v>-7.5592358266169883</c:v>
                </c:pt>
                <c:pt idx="882">
                  <c:v>-7.5592713756444558</c:v>
                </c:pt>
                <c:pt idx="883">
                  <c:v>-7.5593069244087827</c:v>
                </c:pt>
                <c:pt idx="884">
                  <c:v>-7.5593424729099743</c:v>
                </c:pt>
                <c:pt idx="885">
                  <c:v>-7.5593780211480315</c:v>
                </c:pt>
                <c:pt idx="886">
                  <c:v>-7.5594135691229472</c:v>
                </c:pt>
                <c:pt idx="887">
                  <c:v>-7.5594491168347302</c:v>
                </c:pt>
                <c:pt idx="888">
                  <c:v>-7.5594846642833691</c:v>
                </c:pt>
                <c:pt idx="889">
                  <c:v>-7.5595202114688673</c:v>
                </c:pt>
                <c:pt idx="890">
                  <c:v>-7.5595557583912338</c:v>
                </c:pt>
                <c:pt idx="891">
                  <c:v>-7.5595913050504571</c:v>
                </c:pt>
                <c:pt idx="892">
                  <c:v>-7.5596268514465415</c:v>
                </c:pt>
                <c:pt idx="893">
                  <c:v>-7.5596623975794826</c:v>
                </c:pt>
                <c:pt idx="894">
                  <c:v>-7.5596979434492884</c:v>
                </c:pt>
                <c:pt idx="895">
                  <c:v>-7.5597334890559464</c:v>
                </c:pt>
                <c:pt idx="896">
                  <c:v>-7.5597690343994675</c:v>
                </c:pt>
                <c:pt idx="897">
                  <c:v>-7.5598045794798461</c:v>
                </c:pt>
                <c:pt idx="898">
                  <c:v>-7.5598401242970787</c:v>
                </c:pt>
                <c:pt idx="899">
                  <c:v>-7.5598756688511717</c:v>
                </c:pt>
                <c:pt idx="900">
                  <c:v>-7.5599112131421222</c:v>
                </c:pt>
                <c:pt idx="901">
                  <c:v>-7.5599467571699277</c:v>
                </c:pt>
                <c:pt idx="902">
                  <c:v>-7.559982300934589</c:v>
                </c:pt>
                <c:pt idx="903">
                  <c:v>-7.5600178444361106</c:v>
                </c:pt>
                <c:pt idx="904">
                  <c:v>-7.5600533876744835</c:v>
                </c:pt>
                <c:pt idx="905">
                  <c:v>-7.5600889306497088</c:v>
                </c:pt>
                <c:pt idx="906">
                  <c:v>-7.5601244733617898</c:v>
                </c:pt>
                <c:pt idx="907">
                  <c:v>-7.5601600158107267</c:v>
                </c:pt>
                <c:pt idx="908">
                  <c:v>-7.5601955579965203</c:v>
                </c:pt>
                <c:pt idx="909">
                  <c:v>-7.5602310999191618</c:v>
                </c:pt>
                <c:pt idx="910">
                  <c:v>-7.5602666415786617</c:v>
                </c:pt>
                <c:pt idx="911">
                  <c:v>-7.5603021829750112</c:v>
                </c:pt>
                <c:pt idx="912">
                  <c:v>-7.5603377241082166</c:v>
                </c:pt>
                <c:pt idx="913">
                  <c:v>-7.5603732649782662</c:v>
                </c:pt>
                <c:pt idx="914">
                  <c:v>-7.560408805585177</c:v>
                </c:pt>
                <c:pt idx="915">
                  <c:v>-7.5604443459289321</c:v>
                </c:pt>
                <c:pt idx="916">
                  <c:v>-7.5604798860095404</c:v>
                </c:pt>
                <c:pt idx="917">
                  <c:v>-7.560515425827</c:v>
                </c:pt>
                <c:pt idx="918">
                  <c:v>-7.560550965381311</c:v>
                </c:pt>
                <c:pt idx="919">
                  <c:v>-7.5605865046724716</c:v>
                </c:pt>
                <c:pt idx="920">
                  <c:v>-7.5606220437004783</c:v>
                </c:pt>
                <c:pt idx="921">
                  <c:v>-7.5606575824653337</c:v>
                </c:pt>
                <c:pt idx="922">
                  <c:v>-7.5606931209670432</c:v>
                </c:pt>
                <c:pt idx="923">
                  <c:v>-7.5607286592055987</c:v>
                </c:pt>
                <c:pt idx="924">
                  <c:v>-7.5607641971809985</c:v>
                </c:pt>
                <c:pt idx="925">
                  <c:v>-7.560799734893247</c:v>
                </c:pt>
                <c:pt idx="926">
                  <c:v>-7.5608352723423451</c:v>
                </c:pt>
                <c:pt idx="927">
                  <c:v>-7.5608708095282866</c:v>
                </c:pt>
                <c:pt idx="928">
                  <c:v>-7.5609063464510795</c:v>
                </c:pt>
                <c:pt idx="929">
                  <c:v>-7.5609418831107167</c:v>
                </c:pt>
                <c:pt idx="930">
                  <c:v>-7.5609774195071946</c:v>
                </c:pt>
                <c:pt idx="931">
                  <c:v>-7.5610129556405203</c:v>
                </c:pt>
                <c:pt idx="932">
                  <c:v>-7.5610484915106975</c:v>
                </c:pt>
                <c:pt idx="933">
                  <c:v>-7.5610840271177118</c:v>
                </c:pt>
                <c:pt idx="934">
                  <c:v>-7.5611195624615712</c:v>
                </c:pt>
                <c:pt idx="935">
                  <c:v>-7.5611550975422741</c:v>
                </c:pt>
                <c:pt idx="936">
                  <c:v>-7.5611906323598213</c:v>
                </c:pt>
                <c:pt idx="937">
                  <c:v>-7.56122616691421</c:v>
                </c:pt>
                <c:pt idx="938">
                  <c:v>-7.5612617012054431</c:v>
                </c:pt>
                <c:pt idx="939">
                  <c:v>-7.561297235233515</c:v>
                </c:pt>
                <c:pt idx="940">
                  <c:v>-7.5613327689984331</c:v>
                </c:pt>
                <c:pt idx="941">
                  <c:v>-7.561368302500191</c:v>
                </c:pt>
                <c:pt idx="942">
                  <c:v>-7.5614038357387852</c:v>
                </c:pt>
                <c:pt idx="943">
                  <c:v>-7.5614393687142254</c:v>
                </c:pt>
                <c:pt idx="944">
                  <c:v>-7.5614749014265055</c:v>
                </c:pt>
                <c:pt idx="945">
                  <c:v>-7.5615104338756254</c:v>
                </c:pt>
                <c:pt idx="946">
                  <c:v>-7.5615459660615834</c:v>
                </c:pt>
                <c:pt idx="947">
                  <c:v>-7.5615814979843794</c:v>
                </c:pt>
                <c:pt idx="948">
                  <c:v>-7.5616170296440144</c:v>
                </c:pt>
                <c:pt idx="949">
                  <c:v>-7.5616525610404901</c:v>
                </c:pt>
                <c:pt idx="950">
                  <c:v>-7.5616880921738012</c:v>
                </c:pt>
                <c:pt idx="951">
                  <c:v>-7.5617236230439513</c:v>
                </c:pt>
                <c:pt idx="952">
                  <c:v>-7.5617591536509421</c:v>
                </c:pt>
                <c:pt idx="953">
                  <c:v>-7.5617946839947656</c:v>
                </c:pt>
                <c:pt idx="954">
                  <c:v>-7.5618302140754272</c:v>
                </c:pt>
                <c:pt idx="955">
                  <c:v>-7.5618657438929278</c:v>
                </c:pt>
                <c:pt idx="956">
                  <c:v>-7.5619012734472593</c:v>
                </c:pt>
                <c:pt idx="957">
                  <c:v>-7.5619368027384297</c:v>
                </c:pt>
                <c:pt idx="958">
                  <c:v>-7.5619723317664356</c:v>
                </c:pt>
                <c:pt idx="959">
                  <c:v>-7.5620078605312715</c:v>
                </c:pt>
                <c:pt idx="960">
                  <c:v>-7.5620433890329428</c:v>
                </c:pt>
                <c:pt idx="961">
                  <c:v>-7.5620789172714478</c:v>
                </c:pt>
                <c:pt idx="962">
                  <c:v>-7.5621144452467881</c:v>
                </c:pt>
                <c:pt idx="963">
                  <c:v>-7.5621499729589585</c:v>
                </c:pt>
                <c:pt idx="964">
                  <c:v>-7.5621855004079652</c:v>
                </c:pt>
                <c:pt idx="965">
                  <c:v>-7.5622210275938011</c:v>
                </c:pt>
                <c:pt idx="966">
                  <c:v>-7.5622565545164768</c:v>
                </c:pt>
                <c:pt idx="967">
                  <c:v>-7.5622920811759746</c:v>
                </c:pt>
                <c:pt idx="968">
                  <c:v>-7.5623276075723043</c:v>
                </c:pt>
                <c:pt idx="969">
                  <c:v>-7.562363133705472</c:v>
                </c:pt>
                <c:pt idx="970">
                  <c:v>-7.5623986595754689</c:v>
                </c:pt>
                <c:pt idx="971">
                  <c:v>-7.5624341851822914</c:v>
                </c:pt>
                <c:pt idx="972">
                  <c:v>-7.5624697105259466</c:v>
                </c:pt>
                <c:pt idx="973">
                  <c:v>-7.5625052356064275</c:v>
                </c:pt>
                <c:pt idx="974">
                  <c:v>-7.562540760423742</c:v>
                </c:pt>
                <c:pt idx="975">
                  <c:v>-7.5625762849778813</c:v>
                </c:pt>
                <c:pt idx="976">
                  <c:v>-7.5626118092688488</c:v>
                </c:pt>
                <c:pt idx="977">
                  <c:v>-7.5626473332966473</c:v>
                </c:pt>
                <c:pt idx="978">
                  <c:v>-7.5626828570612687</c:v>
                </c:pt>
                <c:pt idx="979">
                  <c:v>-7.5627183805627221</c:v>
                </c:pt>
                <c:pt idx="980">
                  <c:v>-7.5627539038010028</c:v>
                </c:pt>
                <c:pt idx="981">
                  <c:v>-7.5627894267761064</c:v>
                </c:pt>
                <c:pt idx="982">
                  <c:v>-7.5628249494880331</c:v>
                </c:pt>
                <c:pt idx="983">
                  <c:v>-7.5628604719367951</c:v>
                </c:pt>
                <c:pt idx="984">
                  <c:v>-7.5628959941223783</c:v>
                </c:pt>
                <c:pt idx="985">
                  <c:v>-7.5629315160447819</c:v>
                </c:pt>
                <c:pt idx="986">
                  <c:v>-7.5629670377040137</c:v>
                </c:pt>
                <c:pt idx="987">
                  <c:v>-7.5630025591000649</c:v>
                </c:pt>
                <c:pt idx="988">
                  <c:v>-7.5630380802329462</c:v>
                </c:pt>
                <c:pt idx="989">
                  <c:v>-7.5630736011026478</c:v>
                </c:pt>
                <c:pt idx="990">
                  <c:v>-7.5631091217091733</c:v>
                </c:pt>
                <c:pt idx="991">
                  <c:v>-7.5631446420525199</c:v>
                </c:pt>
                <c:pt idx="992">
                  <c:v>-7.5631801621326886</c:v>
                </c:pt>
                <c:pt idx="993">
                  <c:v>-7.5632156819496821</c:v>
                </c:pt>
                <c:pt idx="994">
                  <c:v>-7.5632512015034958</c:v>
                </c:pt>
                <c:pt idx="995">
                  <c:v>-7.5632867207941255</c:v>
                </c:pt>
                <c:pt idx="996">
                  <c:v>-7.5633222398215851</c:v>
                </c:pt>
                <c:pt idx="997">
                  <c:v>-7.563357758585858</c:v>
                </c:pt>
                <c:pt idx="998">
                  <c:v>-7.5633932770869565</c:v>
                </c:pt>
                <c:pt idx="999">
                  <c:v>-7.56342879532487</c:v>
                </c:pt>
                <c:pt idx="1000">
                  <c:v>-7.5634643132996038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C-DF48-ADA1-B093CE44B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53360"/>
        <c:axId val="1"/>
      </c:scatterChart>
      <c:valAx>
        <c:axId val="1805953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Accélérations [m/s²]_</a:t>
                </a:r>
              </a:p>
            </c:rich>
          </c:tx>
          <c:layout>
            <c:manualLayout>
              <c:xMode val="edge"/>
              <c:yMode val="edge"/>
              <c:x val="2.7122641509433963E-2"/>
              <c:y val="0.2973865266841644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53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91258030774126"/>
          <c:y val="0.25214561439489114"/>
          <c:w val="0.28593070606586024"/>
          <c:h val="0.153851561325696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Positions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74528301886802"/>
          <c:y val="9.4771544282144501E-2"/>
          <c:w val="0.86438679245283023"/>
          <c:h val="0.738564448543608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Courbes!$B$144</c:f>
              <c:strCache>
                <c:ptCount val="1"/>
                <c:pt idx="0">
                  <c:v>Portée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Calculs!$J$4:$J$1004</c:f>
              <c:numCache>
                <c:formatCode>0.00</c:formatCode>
                <c:ptCount val="1001"/>
                <c:pt idx="0">
                  <c:v>0</c:v>
                </c:pt>
                <c:pt idx="1">
                  <c:v>3.1146971970863913E-6</c:v>
                </c:pt>
                <c:pt idx="2">
                  <c:v>1.0388426694093229E-4</c:v>
                </c:pt>
                <c:pt idx="3">
                  <c:v>4.8521253657299817E-4</c:v>
                </c:pt>
                <c:pt idx="4">
                  <c:v>1.3301375760294335E-3</c:v>
                </c:pt>
                <c:pt idx="5">
                  <c:v>2.8218883467611778E-3</c:v>
                </c:pt>
                <c:pt idx="6">
                  <c:v>5.0975888067214259E-3</c:v>
                </c:pt>
                <c:pt idx="7">
                  <c:v>8.2018428797820606E-3</c:v>
                </c:pt>
                <c:pt idx="8">
                  <c:v>1.2132944531041016E-2</c:v>
                </c:pt>
                <c:pt idx="9">
                  <c:v>1.6889178844236193E-2</c:v>
                </c:pt>
                <c:pt idx="10">
                  <c:v>2.2468822051783219E-2</c:v>
                </c:pt>
                <c:pt idx="11">
                  <c:v>2.8870141565153617E-2</c:v>
                </c:pt>
                <c:pt idx="12">
                  <c:v>3.6091396005590887E-2</c:v>
                </c:pt>
                <c:pt idx="13">
                  <c:v>4.4130835235162147E-2</c:v>
                </c:pt>
                <c:pt idx="14">
                  <c:v>5.29867003881428E-2</c:v>
                </c:pt>
                <c:pt idx="15">
                  <c:v>6.265722390273179E-2</c:v>
                </c:pt>
                <c:pt idx="16">
                  <c:v>7.314062955309486E-2</c:v>
                </c:pt>
                <c:pt idx="17">
                  <c:v>8.4435132481733288E-2</c:v>
                </c:pt>
                <c:pt idx="18">
                  <c:v>9.6538939232175533E-2</c:v>
                </c:pt>
                <c:pt idx="19">
                  <c:v>0.10945024778198914</c:v>
                </c:pt>
                <c:pt idx="20">
                  <c:v>0.12316724757611026</c:v>
                </c:pt>
                <c:pt idx="21">
                  <c:v>0.13768811956048818</c:v>
                </c:pt>
                <c:pt idx="22">
                  <c:v>0.15301103621604212</c:v>
                </c:pt>
                <c:pt idx="23">
                  <c:v>0.16913416159292746</c:v>
                </c:pt>
                <c:pt idx="24">
                  <c:v>0.18605565134510901</c:v>
                </c:pt>
                <c:pt idx="25">
                  <c:v>0.20377365276523807</c:v>
                </c:pt>
                <c:pt idx="26">
                  <c:v>0.22228630481983078</c:v>
                </c:pt>
                <c:pt idx="27">
                  <c:v>0.24159173818474491</c:v>
                </c:pt>
                <c:pt idx="28">
                  <c:v>0.26168807528095228</c:v>
                </c:pt>
                <c:pt idx="29">
                  <c:v>0.2825734303106035</c:v>
                </c:pt>
                <c:pt idx="30">
                  <c:v>0.30424590929338302</c:v>
                </c:pt>
                <c:pt idx="31">
                  <c:v>0.32670361010315052</c:v>
                </c:pt>
                <c:pt idx="32">
                  <c:v>0.34994462250486652</c:v>
                </c:pt>
                <c:pt idx="33">
                  <c:v>0.37400963669571724</c:v>
                </c:pt>
                <c:pt idx="34">
                  <c:v>0.39894081854126145</c:v>
                </c:pt>
                <c:pt idx="35">
                  <c:v>0.42473917579575393</c:v>
                </c:pt>
                <c:pt idx="36">
                  <c:v>0.45140563745580914</c:v>
                </c:pt>
                <c:pt idx="37">
                  <c:v>0.47894103608090038</c:v>
                </c:pt>
                <c:pt idx="38">
                  <c:v>0.5073461125343437</c:v>
                </c:pt>
                <c:pt idx="39">
                  <c:v>0.53662152033457589</c:v>
                </c:pt>
                <c:pt idx="40">
                  <c:v>0.56676782965914474</c:v>
                </c:pt>
                <c:pt idx="41">
                  <c:v>0.59778553103818288</c:v>
                </c:pt>
                <c:pt idx="42">
                  <c:v>0.62967503876936903</c:v>
                </c:pt>
                <c:pt idx="43">
                  <c:v>0.66243669408234307</c:v>
                </c:pt>
                <c:pt idx="44">
                  <c:v>0.69607076807709711</c:v>
                </c:pt>
                <c:pt idx="45">
                  <c:v>0.73057746445792482</c:v>
                </c:pt>
                <c:pt idx="46">
                  <c:v>0.76595692208197996</c:v>
                </c:pt>
                <c:pt idx="47">
                  <c:v>0.80220921733931883</c:v>
                </c:pt>
                <c:pt idx="48">
                  <c:v>0.83933436637941372</c:v>
                </c:pt>
                <c:pt idx="49">
                  <c:v>0.87733232719748799</c:v>
                </c:pt>
                <c:pt idx="50">
                  <c:v>0.91620300159259549</c:v>
                </c:pt>
                <c:pt idx="51">
                  <c:v>0.9559464938864678</c:v>
                </c:pt>
                <c:pt idx="52">
                  <c:v>0.99656337164848974</c:v>
                </c:pt>
                <c:pt idx="53">
                  <c:v>1.0380544132196197</c:v>
                </c:pt>
                <c:pt idx="54">
                  <c:v>1.0804203529451997</c:v>
                </c:pt>
                <c:pt idx="55">
                  <c:v>1.1236618824659401</c:v>
                </c:pt>
                <c:pt idx="56">
                  <c:v>1.1677796519398715</c:v>
                </c:pt>
                <c:pt idx="57">
                  <c:v>1.2127742712002452</c:v>
                </c:pt>
                <c:pt idx="58">
                  <c:v>1.2586463108539192</c:v>
                </c:pt>
                <c:pt idx="59">
                  <c:v>1.3053963033243756</c:v>
                </c:pt>
                <c:pt idx="60">
                  <c:v>1.3530247438431549</c:v>
                </c:pt>
                <c:pt idx="61">
                  <c:v>1.401532091393179</c:v>
                </c:pt>
                <c:pt idx="62">
                  <c:v>1.4509187696071442</c:v>
                </c:pt>
                <c:pt idx="63">
                  <c:v>1.5011851676239067</c:v>
                </c:pt>
                <c:pt idx="64">
                  <c:v>1.5523316409055528</c:v>
                </c:pt>
                <c:pt idx="65">
                  <c:v>1.6043585120176278</c:v>
                </c:pt>
                <c:pt idx="66">
                  <c:v>1.6572660713748129</c:v>
                </c:pt>
                <c:pt idx="67">
                  <c:v>1.7110545779541579</c:v>
                </c:pt>
                <c:pt idx="68">
                  <c:v>1.7657242599778249</c:v>
                </c:pt>
                <c:pt idx="69">
                  <c:v>1.8212753155671488</c:v>
                </c:pt>
                <c:pt idx="70">
                  <c:v>1.8777079133696941</c:v>
                </c:pt>
                <c:pt idx="71">
                  <c:v>1.9350221931608598</c:v>
                </c:pt>
                <c:pt idx="72">
                  <c:v>1.993218266421481</c:v>
                </c:pt>
                <c:pt idx="73">
                  <c:v>2.052296216892771</c:v>
                </c:pt>
                <c:pt idx="74">
                  <c:v>2.112256101109856</c:v>
                </c:pt>
                <c:pt idx="75">
                  <c:v>2.1730979489150708</c:v>
                </c:pt>
                <c:pt idx="76">
                  <c:v>2.2348217639521013</c:v>
                </c:pt>
                <c:pt idx="77">
                  <c:v>2.2974275241419964</c:v>
                </c:pt>
                <c:pt idx="78">
                  <c:v>2.3609151821419938</c:v>
                </c:pt>
                <c:pt idx="79">
                  <c:v>2.4252846657880545</c:v>
                </c:pt>
                <c:pt idx="80">
                  <c:v>2.4905358785219365</c:v>
                </c:pt>
                <c:pt idx="81">
                  <c:v>2.5566686998035895</c:v>
                </c:pt>
                <c:pt idx="82">
                  <c:v>2.6236829855096024</c:v>
                </c:pt>
                <c:pt idx="83">
                  <c:v>2.6915785683183917</c:v>
                </c:pt>
                <c:pt idx="84">
                  <c:v>2.7603552580827779</c:v>
                </c:pt>
                <c:pt idx="85">
                  <c:v>2.8300128421905555</c:v>
                </c:pt>
                <c:pt idx="86">
                  <c:v>2.9005510859136296</c:v>
                </c:pt>
                <c:pt idx="87">
                  <c:v>2.9719697327462593</c:v>
                </c:pt>
                <c:pt idx="88">
                  <c:v>3.0442685047329099</c:v>
                </c:pt>
                <c:pt idx="89">
                  <c:v>3.1174471027861981</c:v>
                </c:pt>
                <c:pt idx="90">
                  <c:v>3.1915052069953793</c:v>
                </c:pt>
                <c:pt idx="91">
                  <c:v>3.2664424769258029</c:v>
                </c:pt>
                <c:pt idx="92">
                  <c:v>3.3422585519097381</c:v>
                </c:pt>
                <c:pt idx="93">
                  <c:v>3.4189530513289537</c:v>
                </c:pt>
                <c:pt idx="94">
                  <c:v>3.4965255748894091</c:v>
                </c:pt>
                <c:pt idx="95">
                  <c:v>3.5749757028883984</c:v>
                </c:pt>
                <c:pt idx="96">
                  <c:v>3.654302996474474</c:v>
                </c:pt>
                <c:pt idx="97">
                  <c:v>3.734506997900449</c:v>
                </c:pt>
                <c:pt idx="98">
                  <c:v>3.8155872307697769</c:v>
                </c:pt>
                <c:pt idx="99">
                  <c:v>3.8975432002765764</c:v>
                </c:pt>
                <c:pt idx="100">
                  <c:v>3.9803743934395683</c:v>
                </c:pt>
                <c:pt idx="101">
                  <c:v>4.0640801509822007</c:v>
                </c:pt>
                <c:pt idx="102">
                  <c:v>4.1486595386196816</c:v>
                </c:pt>
                <c:pt idx="103">
                  <c:v>4.234111474872555</c:v>
                </c:pt>
                <c:pt idx="104">
                  <c:v>4.3204348594777588</c:v>
                </c:pt>
                <c:pt idx="105">
                  <c:v>4.4076285736256215</c:v>
                </c:pt>
                <c:pt idx="106">
                  <c:v>4.4956914801914651</c:v>
                </c:pt>
                <c:pt idx="107">
                  <c:v>4.584622423962041</c:v>
                </c:pt>
                <c:pt idx="108">
                  <c:v>4.6744202318569847</c:v>
                </c:pt>
                <c:pt idx="109">
                  <c:v>4.7650837131454917</c:v>
                </c:pt>
                <c:pt idx="110">
                  <c:v>4.8566116596583901</c:v>
                </c:pt>
                <c:pt idx="111">
                  <c:v>4.9490028459957847</c:v>
                </c:pt>
                <c:pt idx="112">
                  <c:v>5.0422560297304395</c:v>
                </c:pt>
                <c:pt idx="113">
                  <c:v>5.136369951607052</c:v>
                </c:pt>
                <c:pt idx="114">
                  <c:v>5.2313433357375763</c:v>
                </c:pt>
                <c:pt idx="115">
                  <c:v>5.3271748897927305</c:v>
                </c:pt>
                <c:pt idx="116">
                  <c:v>5.4238633051898324</c:v>
                </c:pt>
                <c:pt idx="117">
                  <c:v>5.5214072572770903</c:v>
                </c:pt>
                <c:pt idx="118">
                  <c:v>5.6198054055144757</c:v>
                </c:pt>
                <c:pt idx="119">
                  <c:v>5.7190563936512939</c:v>
                </c:pt>
                <c:pt idx="120">
                  <c:v>5.8191588499005746</c:v>
                </c:pt>
                <c:pt idx="121">
                  <c:v>5.9201113871103805</c:v>
                </c:pt>
                <c:pt idx="122">
                  <c:v>6.0219126029321508</c:v>
                </c:pt>
                <c:pt idx="123">
                  <c:v>6.1245610799861696</c:v>
                </c:pt>
                <c:pt idx="124">
                  <c:v>6.2280553860242582</c:v>
                </c:pt>
                <c:pt idx="125">
                  <c:v>6.3323940740897893</c:v>
                </c:pt>
                <c:pt idx="126">
                  <c:v>6.4375756826750985</c:v>
                </c:pt>
                <c:pt idx="127">
                  <c:v>6.5435987358763894</c:v>
                </c:pt>
                <c:pt idx="128">
                  <c:v>6.6504617435462059</c:v>
                </c:pt>
                <c:pt idx="129">
                  <c:v>6.7581632014435513</c:v>
                </c:pt>
                <c:pt idx="130">
                  <c:v>6.8667015913817302</c:v>
                </c:pt>
                <c:pt idx="131">
                  <c:v>6.9760753813739793</c:v>
                </c:pt>
                <c:pt idx="132">
                  <c:v>7.0862830257769609</c:v>
                </c:pt>
                <c:pt idx="133">
                  <c:v>7.1973229654321838</c:v>
                </c:pt>
                <c:pt idx="134">
                  <c:v>7.3091936278054099</c:v>
                </c:pt>
                <c:pt idx="135">
                  <c:v>7.4218934271241155</c:v>
                </c:pt>
                <c:pt idx="136">
                  <c:v>7.5354207645130558</c:v>
                </c:pt>
                <c:pt idx="137">
                  <c:v>7.6497740281279931</c:v>
                </c:pt>
                <c:pt idx="138">
                  <c:v>7.7649515932876474</c:v>
                </c:pt>
                <c:pt idx="139">
                  <c:v>7.8809518226039108</c:v>
                </c:pt>
                <c:pt idx="140">
                  <c:v>7.9977730661103816</c:v>
                </c:pt>
                <c:pt idx="141">
                  <c:v>8.1154136613892689</c:v>
                </c:pt>
                <c:pt idx="142">
                  <c:v>8.2338719336966992</c:v>
                </c:pt>
                <c:pt idx="143">
                  <c:v>8.3531461960864899</c:v>
                </c:pt>
                <c:pt idx="144">
                  <c:v>8.4732347495324181</c:v>
                </c:pt>
                <c:pt idx="145">
                  <c:v>8.5941358830490238</c:v>
                </c:pt>
                <c:pt idx="146">
                  <c:v>8.7158478738110006</c:v>
                </c:pt>
                <c:pt idx="147">
                  <c:v>8.8383689872711955</c:v>
                </c:pt>
                <c:pt idx="148">
                  <c:v>8.9616974772772657</c:v>
                </c:pt>
                <c:pt idx="149">
                  <c:v>9.0858315861870231</c:v>
                </c:pt>
                <c:pt idx="150">
                  <c:v>9.2107695449825009</c:v>
                </c:pt>
                <c:pt idx="151">
                  <c:v>9.3365096192479378</c:v>
                </c:pt>
                <c:pt idx="152">
                  <c:v>9.4630501552868669</c:v>
                </c:pt>
                <c:pt idx="153">
                  <c:v>9.5903895345337205</c:v>
                </c:pt>
                <c:pt idx="154">
                  <c:v>9.7185261278205122</c:v>
                </c:pt>
                <c:pt idx="155">
                  <c:v>9.8474582954781305</c:v>
                </c:pt>
                <c:pt idx="156">
                  <c:v>9.9771843874366208</c:v>
                </c:pt>
                <c:pt idx="157">
                  <c:v>10.10770274332446</c:v>
                </c:pt>
                <c:pt idx="158">
                  <c:v>10.23901169256686</c:v>
                </c:pt>
                <c:pt idx="159">
                  <c:v>10.371109554483125</c:v>
                </c:pt>
                <c:pt idx="160">
                  <c:v>10.503994638383066</c:v>
                </c:pt>
                <c:pt idx="161">
                  <c:v>10.637665243662525</c:v>
                </c:pt>
                <c:pt idx="162">
                  <c:v>10.772119659898001</c:v>
                </c:pt>
                <c:pt idx="163">
                  <c:v>10.90735616694041</c:v>
                </c:pt>
                <c:pt idx="164">
                  <c:v>11.043373035007999</c:v>
                </c:pt>
                <c:pt idx="165">
                  <c:v>11.180168524778423</c:v>
                </c:pt>
                <c:pt idx="166">
                  <c:v>11.317740887480026</c:v>
                </c:pt>
                <c:pt idx="167">
                  <c:v>11.456088364982305</c:v>
                </c:pt>
                <c:pt idx="168">
                  <c:v>11.595209189885619</c:v>
                </c:pt>
                <c:pt idx="169">
                  <c:v>11.735101585610114</c:v>
                </c:pt>
                <c:pt idx="170">
                  <c:v>11.875763766483917</c:v>
                </c:pt>
                <c:pt idx="171">
                  <c:v>12.0171939378306</c:v>
                </c:pt>
                <c:pt idx="172">
                  <c:v>12.159390296055905</c:v>
                </c:pt>
                <c:pt idx="173">
                  <c:v>12.302351028733801</c:v>
                </c:pt>
                <c:pt idx="174">
                  <c:v>12.446074314691813</c:v>
                </c:pt>
                <c:pt idx="175">
                  <c:v>12.590558324095712</c:v>
                </c:pt>
                <c:pt idx="176">
                  <c:v>12.73580121853351</c:v>
                </c:pt>
                <c:pt idx="177">
                  <c:v>12.881801151098825</c:v>
                </c:pt>
                <c:pt idx="178">
                  <c:v>13.028556266473597</c:v>
                </c:pt>
                <c:pt idx="179">
                  <c:v>13.176064701010178</c:v>
                </c:pt>
                <c:pt idx="180">
                  <c:v>13.324324582812803</c:v>
                </c:pt>
                <c:pt idx="181">
                  <c:v>13.473334031818462</c:v>
                </c:pt>
                <c:pt idx="182">
                  <c:v>13.623091159877166</c:v>
                </c:pt>
                <c:pt idx="183">
                  <c:v>13.773594070831635</c:v>
                </c:pt>
                <c:pt idx="184">
                  <c:v>13.924840860596404</c:v>
                </c:pt>
                <c:pt idx="185">
                  <c:v>14.07682961723637</c:v>
                </c:pt>
                <c:pt idx="186">
                  <c:v>14.229558421044775</c:v>
                </c:pt>
                <c:pt idx="187">
                  <c:v>14.383025344620636</c:v>
                </c:pt>
                <c:pt idx="188">
                  <c:v>14.537228452945648</c:v>
                </c:pt>
                <c:pt idx="189">
                  <c:v>14.692165803460544</c:v>
                </c:pt>
                <c:pt idx="190">
                  <c:v>14.847835446140934</c:v>
                </c:pt>
                <c:pt idx="191">
                  <c:v>15.004235423572625</c:v>
                </c:pt>
                <c:pt idx="192">
                  <c:v>15.161363771026439</c:v>
                </c:pt>
                <c:pt idx="193">
                  <c:v>15.319218516532514</c:v>
                </c:pt>
                <c:pt idx="194">
                  <c:v>15.477797680954133</c:v>
                </c:pt>
                <c:pt idx="195">
                  <c:v>15.63709927806104</c:v>
                </c:pt>
                <c:pt idx="196">
                  <c:v>15.797121314602293</c:v>
                </c:pt>
                <c:pt idx="197">
                  <c:v>15.957861790378631</c:v>
                </c:pt>
                <c:pt idx="198">
                  <c:v>16.119318698314373</c:v>
                </c:pt>
                <c:pt idx="199">
                  <c:v>16.281490024528864</c:v>
                </c:pt>
                <c:pt idx="200">
                  <c:v>16.44437374840744</c:v>
                </c:pt>
                <c:pt idx="201">
                  <c:v>16.607967842671968</c:v>
                </c:pt>
                <c:pt idx="202">
                  <c:v>16.772270273450921</c:v>
                </c:pt>
                <c:pt idx="203">
                  <c:v>16.937279000349019</c:v>
                </c:pt>
                <c:pt idx="204">
                  <c:v>17.102991976516424</c:v>
                </c:pt>
                <c:pt idx="205">
                  <c:v>17.269407148717523</c:v>
                </c:pt>
                <c:pt idx="206">
                  <c:v>17.43652245739926</c:v>
                </c:pt>
                <c:pt idx="207">
                  <c:v>17.604335836759059</c:v>
                </c:pt>
                <c:pt idx="208">
                  <c:v>17.772845214812328</c:v>
                </c:pt>
                <c:pt idx="209">
                  <c:v>17.942048513459547</c:v>
                </c:pt>
                <c:pt idx="210">
                  <c:v>18.111943648552945</c:v>
                </c:pt>
                <c:pt idx="211">
                  <c:v>18.282528529962775</c:v>
                </c:pt>
                <c:pt idx="212">
                  <c:v>18.453801061643183</c:v>
                </c:pt>
                <c:pt idx="213">
                  <c:v>18.625759141697678</c:v>
                </c:pt>
                <c:pt idx="214">
                  <c:v>18.798400662444216</c:v>
                </c:pt>
                <c:pt idx="215">
                  <c:v>18.971723510479883</c:v>
                </c:pt>
                <c:pt idx="216">
                  <c:v>19.145725566745195</c:v>
                </c:pt>
                <c:pt idx="217">
                  <c:v>19.320404706588011</c:v>
                </c:pt>
                <c:pt idx="218">
                  <c:v>19.495758799827069</c:v>
                </c:pt>
                <c:pt idx="219">
                  <c:v>19.671785710815143</c:v>
                </c:pt>
                <c:pt idx="220">
                  <c:v>19.848483298501819</c:v>
                </c:pt>
                <c:pt idx="221">
                  <c:v>20.025849416495909</c:v>
                </c:pt>
                <c:pt idx="222">
                  <c:v>20.203881913127486</c:v>
                </c:pt>
                <c:pt idx="223">
                  <c:v>20.382578631509556</c:v>
                </c:pt>
                <c:pt idx="224">
                  <c:v>20.56193740959937</c:v>
                </c:pt>
                <c:pt idx="225">
                  <c:v>20.741956080259364</c:v>
                </c:pt>
                <c:pt idx="226">
                  <c:v>20.922632471317758</c:v>
                </c:pt>
                <c:pt idx="227">
                  <c:v>21.103964405628776</c:v>
                </c:pt>
                <c:pt idx="228">
                  <c:v>21.28594970113253</c:v>
                </c:pt>
                <c:pt idx="229">
                  <c:v>21.468586170914538</c:v>
                </c:pt>
                <c:pt idx="230">
                  <c:v>21.651871623264906</c:v>
                </c:pt>
                <c:pt idx="231">
                  <c:v>21.835803861737155</c:v>
                </c:pt>
                <c:pt idx="232">
                  <c:v>22.020380685206696</c:v>
                </c:pt>
                <c:pt idx="233">
                  <c:v>22.205599887928976</c:v>
                </c:pt>
                <c:pt idx="234">
                  <c:v>22.391459259597266</c:v>
                </c:pt>
                <c:pt idx="235">
                  <c:v>22.577956585400123</c:v>
                </c:pt>
                <c:pt idx="236">
                  <c:v>22.765089646078511</c:v>
                </c:pt>
                <c:pt idx="237">
                  <c:v>22.952856217982575</c:v>
                </c:pt>
                <c:pt idx="238">
                  <c:v>23.141254073128092</c:v>
                </c:pt>
                <c:pt idx="239">
                  <c:v>23.330280979252581</c:v>
                </c:pt>
                <c:pt idx="240">
                  <c:v>23.519934699871097</c:v>
                </c:pt>
                <c:pt idx="241">
                  <c:v>23.710212994331673</c:v>
                </c:pt>
                <c:pt idx="242">
                  <c:v>23.90111361787045</c:v>
                </c:pt>
                <c:pt idx="243">
                  <c:v>24.092634321666473</c:v>
                </c:pt>
                <c:pt idx="244">
                  <c:v>24.284772852896165</c:v>
                </c:pt>
                <c:pt idx="245">
                  <c:v>24.477526954787471</c:v>
                </c:pt>
                <c:pt idx="246">
                  <c:v>24.670894366673693</c:v>
                </c:pt>
                <c:pt idx="247">
                  <c:v>24.864872824046987</c:v>
                </c:pt>
                <c:pt idx="248">
                  <c:v>25.059460058611553</c:v>
                </c:pt>
                <c:pt idx="249">
                  <c:v>25.254653798336495</c:v>
                </c:pt>
                <c:pt idx="250">
                  <c:v>25.450451767508376</c:v>
                </c:pt>
                <c:pt idx="251">
                  <c:v>25.646851475231617</c:v>
                </c:pt>
                <c:pt idx="252">
                  <c:v>25.843850003620119</c:v>
                </c:pt>
                <c:pt idx="253">
                  <c:v>26.041444219164898</c:v>
                </c:pt>
                <c:pt idx="254">
                  <c:v>26.239630984419588</c:v>
                </c:pt>
                <c:pt idx="255">
                  <c:v>26.438407158070671</c:v>
                </c:pt>
                <c:pt idx="256">
                  <c:v>26.637769595007228</c:v>
                </c:pt>
                <c:pt idx="257">
                  <c:v>26.837715146390163</c:v>
                </c:pt>
                <c:pt idx="258">
                  <c:v>27.038240659720913</c:v>
                </c:pt>
                <c:pt idx="259">
                  <c:v>27.239342978909669</c:v>
                </c:pt>
                <c:pt idx="260">
                  <c:v>27.441018944343089</c:v>
                </c:pt>
                <c:pt idx="261">
                  <c:v>27.643265392951506</c:v>
                </c:pt>
                <c:pt idx="262">
                  <c:v>27.846079158275632</c:v>
                </c:pt>
                <c:pt idx="263">
                  <c:v>28.049457070532778</c:v>
                </c:pt>
                <c:pt idx="264">
                  <c:v>28.253395956682557</c:v>
                </c:pt>
                <c:pt idx="265">
                  <c:v>28.457892640492098</c:v>
                </c:pt>
                <c:pt idx="266">
                  <c:v>28.662943942600776</c:v>
                </c:pt>
                <c:pt idx="267">
                  <c:v>28.868546680584441</c:v>
                </c:pt>
                <c:pt idx="268">
                  <c:v>29.074697669019141</c:v>
                </c:pt>
                <c:pt idx="269">
                  <c:v>29.281393719544379</c:v>
                </c:pt>
                <c:pt idx="270">
                  <c:v>29.48863164092587</c:v>
                </c:pt>
                <c:pt idx="271">
                  <c:v>29.696408239117801</c:v>
                </c:pt>
                <c:pt idx="272">
                  <c:v>29.904720317324621</c:v>
                </c:pt>
                <c:pt idx="273">
                  <c:v>30.113564676062332</c:v>
                </c:pt>
                <c:pt idx="274">
                  <c:v>30.322938113219301</c:v>
                </c:pt>
                <c:pt idx="275">
                  <c:v>30.532837424116597</c:v>
                </c:pt>
                <c:pt idx="276">
                  <c:v>30.743259401567826</c:v>
                </c:pt>
                <c:pt idx="277">
                  <c:v>30.954200835938508</c:v>
                </c:pt>
                <c:pt idx="278">
                  <c:v>31.16565851520496</c:v>
                </c:pt>
                <c:pt idx="279">
                  <c:v>31.377629225012711</c:v>
                </c:pt>
                <c:pt idx="280">
                  <c:v>31.590109748734424</c:v>
                </c:pt>
                <c:pt idx="281">
                  <c:v>31.803096867527362</c:v>
                </c:pt>
                <c:pt idx="282">
                  <c:v>32.016587360390368</c:v>
                </c:pt>
                <c:pt idx="283">
                  <c:v>32.230578004220376</c:v>
                </c:pt>
                <c:pt idx="284">
                  <c:v>32.44506557386844</c:v>
                </c:pt>
                <c:pt idx="285">
                  <c:v>32.660046842195314</c:v>
                </c:pt>
                <c:pt idx="286">
                  <c:v>32.875518580126524</c:v>
                </c:pt>
                <c:pt idx="287">
                  <c:v>33.091477556707012</c:v>
                </c:pt>
                <c:pt idx="288">
                  <c:v>33.307920539155297</c:v>
                </c:pt>
                <c:pt idx="289">
                  <c:v>33.524844292917152</c:v>
                </c:pt>
                <c:pt idx="290">
                  <c:v>33.742245581718841</c:v>
                </c:pt>
                <c:pt idx="291">
                  <c:v>33.960121167619874</c:v>
                </c:pt>
                <c:pt idx="292">
                  <c:v>34.178467811065318</c:v>
                </c:pt>
                <c:pt idx="293">
                  <c:v>34.397282270937616</c:v>
                </c:pt>
                <c:pt idx="294">
                  <c:v>34.616561304607977</c:v>
                </c:pt>
                <c:pt idx="295">
                  <c:v>34.836301667987271</c:v>
                </c:pt>
                <c:pt idx="296">
                  <c:v>35.056500115576512</c:v>
                </c:pt>
                <c:pt idx="297">
                  <c:v>35.277153400516831</c:v>
                </c:pt>
                <c:pt idx="298">
                  <c:v>35.498255893980655</c:v>
                </c:pt>
                <c:pt idx="299">
                  <c:v>35.719797202448596</c:v>
                </c:pt>
                <c:pt idx="300">
                  <c:v>35.941764547963885</c:v>
                </c:pt>
                <c:pt idx="301">
                  <c:v>36.164145150643044</c:v>
                </c:pt>
                <c:pt idx="302">
                  <c:v>36.38692622900674</c:v>
                </c:pt>
                <c:pt idx="303">
                  <c:v>36.610095000305066</c:v>
                </c:pt>
                <c:pt idx="304">
                  <c:v>36.833638680837275</c:v>
                </c:pt>
                <c:pt idx="305">
                  <c:v>37.057544486265947</c:v>
                </c:pt>
                <c:pt idx="306">
                  <c:v>37.281799631925587</c:v>
                </c:pt>
                <c:pt idx="307">
                  <c:v>37.506391333125727</c:v>
                </c:pt>
                <c:pt idx="308">
                  <c:v>37.731306805448469</c:v>
                </c:pt>
                <c:pt idx="309">
                  <c:v>37.956533265040505</c:v>
                </c:pt>
                <c:pt idx="310">
                  <c:v>38.18205792889966</c:v>
                </c:pt>
                <c:pt idx="311">
                  <c:v>38.407868015155891</c:v>
                </c:pt>
                <c:pt idx="312">
                  <c:v>38.633950743346837</c:v>
                </c:pt>
                <c:pt idx="313">
                  <c:v>38.860293334687853</c:v>
                </c:pt>
                <c:pt idx="314">
                  <c:v>39.086883012336621</c:v>
                </c:pt>
                <c:pt idx="315">
                  <c:v>39.31370700165224</c:v>
                </c:pt>
                <c:pt idx="316">
                  <c:v>39.540752530448927</c:v>
                </c:pt>
                <c:pt idx="317">
                  <c:v>39.768006829244221</c:v>
                </c:pt>
                <c:pt idx="318">
                  <c:v>39.995457131501823</c:v>
                </c:pt>
                <c:pt idx="319">
                  <c:v>40.223090673868946</c:v>
                </c:pt>
                <c:pt idx="320">
                  <c:v>40.450894696408319</c:v>
                </c:pt>
                <c:pt idx="321">
                  <c:v>40.678857400484972</c:v>
                </c:pt>
                <c:pt idx="322">
                  <c:v>40.906968906942069</c:v>
                </c:pt>
                <c:pt idx="323">
                  <c:v>41.135220297996042</c:v>
                </c:pt>
                <c:pt idx="324">
                  <c:v>41.363602658779257</c:v>
                </c:pt>
                <c:pt idx="325">
                  <c:v>41.592107077441234</c:v>
                </c:pt>
                <c:pt idx="326">
                  <c:v>41.820724645247175</c:v>
                </c:pt>
                <c:pt idx="327">
                  <c:v>42.049446456673941</c:v>
                </c:pt>
                <c:pt idx="328">
                  <c:v>42.278263609503362</c:v>
                </c:pt>
                <c:pt idx="329">
                  <c:v>42.507167204912982</c:v>
                </c:pt>
                <c:pt idx="330">
                  <c:v>42.736148347564175</c:v>
                </c:pt>
                <c:pt idx="331">
                  <c:v>42.96519814568768</c:v>
                </c:pt>
                <c:pt idx="332">
                  <c:v>43.194307711166566</c:v>
                </c:pt>
                <c:pt idx="333">
                  <c:v>43.423468159616597</c:v>
                </c:pt>
                <c:pt idx="334">
                  <c:v>43.652670610464043</c:v>
                </c:pt>
                <c:pt idx="335">
                  <c:v>43.881906187020896</c:v>
                </c:pt>
                <c:pt idx="336">
                  <c:v>44.111166016557583</c:v>
                </c:pt>
                <c:pt idx="337">
                  <c:v>44.340441230373074</c:v>
                </c:pt>
                <c:pt idx="338">
                  <c:v>44.569722963862475</c:v>
                </c:pt>
                <c:pt idx="339">
                  <c:v>44.799002356582079</c:v>
                </c:pt>
                <c:pt idx="340">
                  <c:v>45.028270552311888</c:v>
                </c:pt>
                <c:pt idx="341">
                  <c:v>45.257518699115586</c:v>
                </c:pt>
                <c:pt idx="342">
                  <c:v>45.486737949398041</c:v>
                </c:pt>
                <c:pt idx="343">
                  <c:v>45.71591945996024</c:v>
                </c:pt>
                <c:pt idx="344">
                  <c:v>45.945054392051766</c:v>
                </c:pt>
                <c:pt idx="345">
                  <c:v>46.174133911420739</c:v>
                </c:pt>
                <c:pt idx="346">
                  <c:v>46.403149188361304</c:v>
                </c:pt>
                <c:pt idx="347">
                  <c:v>46.632091397758572</c:v>
                </c:pt>
                <c:pt idx="348">
                  <c:v>46.860951823792334</c:v>
                </c:pt>
                <c:pt idx="349">
                  <c:v>47.089721964631089</c:v>
                </c:pt>
                <c:pt idx="350">
                  <c:v>47.31839342768005</c:v>
                </c:pt>
                <c:pt idx="351">
                  <c:v>47.546957824830905</c:v>
                </c:pt>
                <c:pt idx="352">
                  <c:v>47.775406772488651</c:v>
                </c:pt>
                <c:pt idx="353">
                  <c:v>48.003731891596175</c:v>
                </c:pt>
                <c:pt idx="354">
                  <c:v>48.231924807656625</c:v>
                </c:pt>
                <c:pt idx="355">
                  <c:v>48.459977150753573</c:v>
                </c:pt>
                <c:pt idx="356">
                  <c:v>48.687880555568974</c:v>
                </c:pt>
                <c:pt idx="357">
                  <c:v>48.915626661398917</c:v>
                </c:pt>
                <c:pt idx="358">
                  <c:v>49.143207112167168</c:v>
                </c:pt>
                <c:pt idx="359">
                  <c:v>49.370613556436524</c:v>
                </c:pt>
                <c:pt idx="360">
                  <c:v>49.597839837142537</c:v>
                </c:pt>
                <c:pt idx="361">
                  <c:v>49.824884180923966</c:v>
                </c:pt>
                <c:pt idx="362">
                  <c:v>50.051747005410739</c:v>
                </c:pt>
                <c:pt idx="363">
                  <c:v>50.2784287269129</c:v>
                </c:pt>
                <c:pt idx="364">
                  <c:v>50.504929760426357</c:v>
                </c:pt>
                <c:pt idx="365">
                  <c:v>50.7312505196386</c:v>
                </c:pt>
                <c:pt idx="366">
                  <c:v>50.957391416934385</c:v>
                </c:pt>
                <c:pt idx="367">
                  <c:v>51.183352863401382</c:v>
                </c:pt>
                <c:pt idx="368">
                  <c:v>51.409135268835797</c:v>
                </c:pt>
                <c:pt idx="369">
                  <c:v>51.634739041747949</c:v>
                </c:pt>
                <c:pt idx="370">
                  <c:v>51.860164589367855</c:v>
                </c:pt>
                <c:pt idx="371">
                  <c:v>52.08541231765075</c:v>
                </c:pt>
                <c:pt idx="372">
                  <c:v>52.310482631282568</c:v>
                </c:pt>
                <c:pt idx="373">
                  <c:v>52.535375933685437</c:v>
                </c:pt>
                <c:pt idx="374">
                  <c:v>52.760092627023113</c:v>
                </c:pt>
                <c:pt idx="375">
                  <c:v>52.984633112206396</c:v>
                </c:pt>
                <c:pt idx="376">
                  <c:v>53.208997788898486</c:v>
                </c:pt>
                <c:pt idx="377">
                  <c:v>53.433187055520385</c:v>
                </c:pt>
                <c:pt idx="378">
                  <c:v>53.657201309256173</c:v>
                </c:pt>
                <c:pt idx="379">
                  <c:v>53.881040946058327</c:v>
                </c:pt>
                <c:pt idx="380">
                  <c:v>54.104706360653005</c:v>
                </c:pt>
                <c:pt idx="381">
                  <c:v>54.328197946545252</c:v>
                </c:pt>
                <c:pt idx="382">
                  <c:v>54.55151609602423</c:v>
                </c:pt>
                <c:pt idx="383">
                  <c:v>54.77466120016841</c:v>
                </c:pt>
                <c:pt idx="384">
                  <c:v>54.997633648850709</c:v>
                </c:pt>
                <c:pt idx="385">
                  <c:v>55.220433830743637</c:v>
                </c:pt>
                <c:pt idx="386">
                  <c:v>55.443062133324382</c:v>
                </c:pt>
                <c:pt idx="387">
                  <c:v>55.665518942879906</c:v>
                </c:pt>
                <c:pt idx="388">
                  <c:v>55.887804644511967</c:v>
                </c:pt>
                <c:pt idx="389">
                  <c:v>56.109919622142158</c:v>
                </c:pt>
                <c:pt idx="390">
                  <c:v>56.331864258516902</c:v>
                </c:pt>
                <c:pt idx="391">
                  <c:v>56.553638935212412</c:v>
                </c:pt>
                <c:pt idx="392">
                  <c:v>56.775244032639627</c:v>
                </c:pt>
                <c:pt idx="393">
                  <c:v>56.996679930049147</c:v>
                </c:pt>
                <c:pt idx="394">
                  <c:v>57.217947005536104</c:v>
                </c:pt>
                <c:pt idx="395">
                  <c:v>57.43904563604503</c:v>
                </c:pt>
                <c:pt idx="396">
                  <c:v>57.659976197374711</c:v>
                </c:pt>
                <c:pt idx="397">
                  <c:v>57.880739064182983</c:v>
                </c:pt>
                <c:pt idx="398">
                  <c:v>58.101334609991525</c:v>
                </c:pt>
                <c:pt idx="399">
                  <c:v>58.321763207190614</c:v>
                </c:pt>
                <c:pt idx="400">
                  <c:v>58.542025227043879</c:v>
                </c:pt>
                <c:pt idx="401">
                  <c:v>60.735512344941007</c:v>
                </c:pt>
                <c:pt idx="402">
                  <c:v>62.91258035578187</c:v>
                </c:pt>
                <c:pt idx="403">
                  <c:v>65.073590084563108</c:v>
                </c:pt>
                <c:pt idx="404">
                  <c:v>67.21889169143941</c:v>
                </c:pt>
                <c:pt idx="405">
                  <c:v>69.348825104925652</c:v>
                </c:pt>
                <c:pt idx="406">
                  <c:v>71.463720433302456</c:v>
                </c:pt>
                <c:pt idx="407">
                  <c:v>73.563898355537631</c:v>
                </c:pt>
                <c:pt idx="408">
                  <c:v>75.649670492944267</c:v>
                </c:pt>
                <c:pt idx="409">
                  <c:v>77.721339762712063</c:v>
                </c:pt>
                <c:pt idx="410">
                  <c:v>79.779200714370504</c:v>
                </c:pt>
                <c:pt idx="411">
                  <c:v>81.823539850170846</c:v>
                </c:pt>
                <c:pt idx="412">
                  <c:v>83.854635930307737</c:v>
                </c:pt>
                <c:pt idx="413">
                  <c:v>85.872760263839936</c:v>
                </c:pt>
                <c:pt idx="414">
                  <c:v>87.878176986113274</c:v>
                </c:pt>
                <c:pt idx="415">
                  <c:v>89.871143323436513</c:v>
                </c:pt>
                <c:pt idx="416">
                  <c:v>91.851909845712328</c:v>
                </c:pt>
                <c:pt idx="417">
                  <c:v>93.82072070768082</c:v>
                </c:pt>
                <c:pt idx="418">
                  <c:v>95.777813879391289</c:v>
                </c:pt>
                <c:pt idx="419">
                  <c:v>97.723421366479187</c:v>
                </c:pt>
                <c:pt idx="420">
                  <c:v>99.657769420789606</c:v>
                </c:pt>
                <c:pt idx="421">
                  <c:v>101.58107874185501</c:v>
                </c:pt>
                <c:pt idx="422">
                  <c:v>103.49356466970399</c:v>
                </c:pt>
                <c:pt idx="423">
                  <c:v>105.39543736944908</c:v>
                </c:pt>
                <c:pt idx="424">
                  <c:v>107.28690200807463</c:v>
                </c:pt>
                <c:pt idx="425">
                  <c:v>109.16815892382061</c:v>
                </c:pt>
                <c:pt idx="426">
                  <c:v>111.03940378853518</c:v>
                </c:pt>
                <c:pt idx="427">
                  <c:v>112.90082776334674</c:v>
                </c:pt>
                <c:pt idx="428">
                  <c:v>114.75261764798601</c:v>
                </c:pt>
                <c:pt idx="429">
                  <c:v>116.59495602406962</c:v>
                </c:pt>
                <c:pt idx="430">
                  <c:v>118.4280213926388</c:v>
                </c:pt>
                <c:pt idx="431">
                  <c:v>120.25198830623054</c:v>
                </c:pt>
                <c:pt idx="432">
                  <c:v>122.06702749574252</c:v>
                </c:pt>
                <c:pt idx="433">
                  <c:v>123.87330599233889</c:v>
                </c:pt>
                <c:pt idx="434">
                  <c:v>125.67098724463017</c:v>
                </c:pt>
                <c:pt idx="435">
                  <c:v>127.46023123134808</c:v>
                </c:pt>
                <c:pt idx="436">
                  <c:v>129.2411945697234</c:v>
                </c:pt>
                <c:pt idx="437">
                  <c:v>131.01403061976455</c:v>
                </c:pt>
                <c:pt idx="438">
                  <c:v>132.77888958462347</c:v>
                </c:pt>
                <c:pt idx="439">
                  <c:v>134.53591860722543</c:v>
                </c:pt>
                <c:pt idx="440">
                  <c:v>136.28526186333053</c:v>
                </c:pt>
                <c:pt idx="441">
                  <c:v>138.02706065118531</c:v>
                </c:pt>
                <c:pt idx="442">
                  <c:v>139.7614534779149</c:v>
                </c:pt>
                <c:pt idx="443">
                  <c:v>141.48857614279845</c:v>
                </c:pt>
                <c:pt idx="444">
                  <c:v>143.20856181756298</c:v>
                </c:pt>
                <c:pt idx="445">
                  <c:v>144.92154112382406</c:v>
                </c:pt>
                <c:pt idx="446">
                  <c:v>146.62764220779533</c:v>
                </c:pt>
                <c:pt idx="447">
                  <c:v>148.32699081238229</c:v>
                </c:pt>
                <c:pt idx="448">
                  <c:v>150.01971034677047</c:v>
                </c:pt>
                <c:pt idx="449">
                  <c:v>151.7059219536124</c:v>
                </c:pt>
                <c:pt idx="450">
                  <c:v>153.3857445739124</c:v>
                </c:pt>
                <c:pt idx="451">
                  <c:v>155.05929500970379</c:v>
                </c:pt>
                <c:pt idx="452">
                  <c:v>156.72668798460791</c:v>
                </c:pt>
                <c:pt idx="453">
                  <c:v>158.3880362023605</c:v>
                </c:pt>
                <c:pt idx="454">
                  <c:v>160.04345040338646</c:v>
                </c:pt>
                <c:pt idx="455">
                  <c:v>161.69303941949997</c:v>
                </c:pt>
                <c:pt idx="456">
                  <c:v>163.33691022680367</c:v>
                </c:pt>
                <c:pt idx="457">
                  <c:v>164.97516799685656</c:v>
                </c:pt>
                <c:pt idx="458">
                  <c:v>166.60791614617716</c:v>
                </c:pt>
                <c:pt idx="459">
                  <c:v>168.23525638414506</c:v>
                </c:pt>
                <c:pt idx="460">
                  <c:v>169.85728875936113</c:v>
                </c:pt>
                <c:pt idx="461">
                  <c:v>171.47411170452349</c:v>
                </c:pt>
                <c:pt idx="462">
                  <c:v>173.08582207987394</c:v>
                </c:pt>
                <c:pt idx="463">
                  <c:v>174.69251521526607</c:v>
                </c:pt>
                <c:pt idx="464">
                  <c:v>176.29428495090494</c:v>
                </c:pt>
                <c:pt idx="465">
                  <c:v>177.89122367680432</c:v>
                </c:pt>
                <c:pt idx="466">
                  <c:v>179.48342237100653</c:v>
                </c:pt>
                <c:pt idx="467">
                  <c:v>181.07097063660649</c:v>
                </c:pt>
                <c:pt idx="468">
                  <c:v>182.65395673762012</c:v>
                </c:pt>
                <c:pt idx="469">
                  <c:v>184.23246763373481</c:v>
                </c:pt>
                <c:pt idx="470">
                  <c:v>185.8065890139776</c:v>
                </c:pt>
                <c:pt idx="471">
                  <c:v>187.37640532933503</c:v>
                </c:pt>
                <c:pt idx="472">
                  <c:v>188.94199982435612</c:v>
                </c:pt>
                <c:pt idx="473">
                  <c:v>190.50345456776856</c:v>
                </c:pt>
                <c:pt idx="474">
                  <c:v>192.06085048213603</c:v>
                </c:pt>
                <c:pt idx="475">
                  <c:v>193.61426737258276</c:v>
                </c:pt>
                <c:pt idx="476">
                  <c:v>195.1637839546097</c:v>
                </c:pt>
                <c:pt idx="477">
                  <c:v>196.70947788102455</c:v>
                </c:pt>
                <c:pt idx="478">
                  <c:v>198.2514257680067</c:v>
                </c:pt>
                <c:pt idx="479">
                  <c:v>199.78970322032529</c:v>
                </c:pt>
                <c:pt idx="480">
                  <c:v>201.32438485572789</c:v>
                </c:pt>
                <c:pt idx="481">
                  <c:v>202.85554432851441</c:v>
                </c:pt>
                <c:pt idx="482">
                  <c:v>204.38325435230945</c:v>
                </c:pt>
                <c:pt idx="483">
                  <c:v>205.90758672204407</c:v>
                </c:pt>
                <c:pt idx="484">
                  <c:v>207.42861233515615</c:v>
                </c:pt>
                <c:pt idx="485">
                  <c:v>208.94640121201564</c:v>
                </c:pt>
                <c:pt idx="486">
                  <c:v>210.46102251557969</c:v>
                </c:pt>
                <c:pt idx="487">
                  <c:v>211.97254457027921</c:v>
                </c:pt>
                <c:pt idx="488">
                  <c:v>213.48103488013666</c:v>
                </c:pt>
                <c:pt idx="489">
                  <c:v>214.98656014611117</c:v>
                </c:pt>
                <c:pt idx="490">
                  <c:v>216.48918628266526</c:v>
                </c:pt>
                <c:pt idx="491">
                  <c:v>217.9889784335428</c:v>
                </c:pt>
                <c:pt idx="492">
                  <c:v>219.48600098674535</c:v>
                </c:pt>
                <c:pt idx="493">
                  <c:v>220.9803175886897</c:v>
                </c:pt>
                <c:pt idx="494">
                  <c:v>222.471991157525</c:v>
                </c:pt>
                <c:pt idx="495">
                  <c:v>223.96108389558324</c:v>
                </c:pt>
                <c:pt idx="496">
                  <c:v>225.44765730093172</c:v>
                </c:pt>
                <c:pt idx="497">
                  <c:v>226.93177217798976</c:v>
                </c:pt>
                <c:pt idx="498">
                  <c:v>228.41348864716582</c:v>
                </c:pt>
                <c:pt idx="499">
                  <c:v>229.89286615346353</c:v>
                </c:pt>
                <c:pt idx="500">
                  <c:v>231.36996347399662</c:v>
                </c:pt>
                <c:pt idx="501">
                  <c:v>232.84483872434376</c:v>
                </c:pt>
                <c:pt idx="502">
                  <c:v>234.31754936366295</c:v>
                </c:pt>
                <c:pt idx="503">
                  <c:v>235.78815219847399</c:v>
                </c:pt>
                <c:pt idx="504">
                  <c:v>237.25670338500277</c:v>
                </c:pt>
                <c:pt idx="505">
                  <c:v>238.72325842996617</c:v>
                </c:pt>
                <c:pt idx="506">
                  <c:v>240.18787218965858</c:v>
                </c:pt>
                <c:pt idx="507">
                  <c:v>241.65059886718007</c:v>
                </c:pt>
                <c:pt idx="508">
                  <c:v>243.11149200762412</c:v>
                </c:pt>
                <c:pt idx="509">
                  <c:v>244.57060449101553</c:v>
                </c:pt>
                <c:pt idx="510">
                  <c:v>246.02798852275947</c:v>
                </c:pt>
                <c:pt idx="511">
                  <c:v>247.48369562132865</c:v>
                </c:pt>
                <c:pt idx="512">
                  <c:v>248.937776602876</c:v>
                </c:pt>
                <c:pt idx="513">
                  <c:v>250.3902815624171</c:v>
                </c:pt>
                <c:pt idx="514">
                  <c:v>251.84125985117649</c:v>
                </c:pt>
                <c:pt idx="515">
                  <c:v>253.2907600496365</c:v>
                </c:pt>
                <c:pt idx="516">
                  <c:v>254.73882993576635</c:v>
                </c:pt>
                <c:pt idx="517">
                  <c:v>256.18551644784094</c:v>
                </c:pt>
                <c:pt idx="518">
                  <c:v>257.6308656411872</c:v>
                </c:pt>
                <c:pt idx="519">
                  <c:v>259.07492263811861</c:v>
                </c:pt>
                <c:pt idx="520">
                  <c:v>260.51773157024206</c:v>
                </c:pt>
                <c:pt idx="521">
                  <c:v>261.95933551224743</c:v>
                </c:pt>
                <c:pt idx="522">
                  <c:v>263.39977640622635</c:v>
                </c:pt>
                <c:pt idx="523">
                  <c:v>264.83909497552361</c:v>
                </c:pt>
                <c:pt idx="524">
                  <c:v>266.27733062711684</c:v>
                </c:pt>
                <c:pt idx="525">
                  <c:v>267.71452134156476</c:v>
                </c:pt>
                <c:pt idx="526">
                  <c:v>269.15070354969095</c:v>
                </c:pt>
                <c:pt idx="527">
                  <c:v>270.58591199540757</c:v>
                </c:pt>
                <c:pt idx="528">
                  <c:v>272.02017958447249</c:v>
                </c:pt>
                <c:pt idx="529">
                  <c:v>273.45353721954996</c:v>
                </c:pt>
                <c:pt idx="530">
                  <c:v>274.8860136227521</c:v>
                </c:pt>
                <c:pt idx="531">
                  <c:v>276.31763514788724</c:v>
                </c:pt>
                <c:pt idx="532">
                  <c:v>277.74842558593105</c:v>
                </c:pt>
                <c:pt idx="533">
                  <c:v>279.17840596869655</c:v>
                </c:pt>
                <c:pt idx="534">
                  <c:v>280.60759437718707</c:v>
                </c:pt>
                <c:pt idx="535">
                  <c:v>282.03600576245748</c:v>
                </c:pt>
                <c:pt idx="536">
                  <c:v>283.46365178772339</c:v>
                </c:pt>
                <c:pt idx="537">
                  <c:v>284.89054070065004</c:v>
                </c:pt>
                <c:pt idx="538">
                  <c:v>286.3166772440012</c:v>
                </c:pt>
                <c:pt idx="539">
                  <c:v>287.74206261104484</c:v>
                </c:pt>
                <c:pt idx="540">
                  <c:v>289.1666944494242</c:v>
                </c:pt>
                <c:pt idx="541">
                  <c:v>290.59056691395062</c:v>
                </c:pt>
                <c:pt idx="542">
                  <c:v>292.01367076544869</c:v>
                </c:pt>
                <c:pt idx="543">
                  <c:v>293.43599350989132</c:v>
                </c:pt>
                <c:pt idx="544">
                  <c:v>294.85751957000082</c:v>
                </c:pt>
                <c:pt idx="545">
                  <c:v>296.27823048045065</c:v>
                </c:pt>
                <c:pt idx="546">
                  <c:v>297.69810509775363</c:v>
                </c:pt>
                <c:pt idx="547">
                  <c:v>299.11711981667162</c:v>
                </c:pt>
                <c:pt idx="548">
                  <c:v>300.53524878624432</c:v>
                </c:pt>
                <c:pt idx="549">
                  <c:v>301.95246412003331</c:v>
                </c:pt>
                <c:pt idx="550">
                  <c:v>303.36873609668123</c:v>
                </c:pt>
                <c:pt idx="551">
                  <c:v>304.78403334824128</c:v>
                </c:pt>
                <c:pt idx="552">
                  <c:v>306.19832303485998</c:v>
                </c:pt>
                <c:pt idx="553">
                  <c:v>307.61157100527322</c:v>
                </c:pt>
                <c:pt idx="554">
                  <c:v>309.0237419432159</c:v>
                </c:pt>
                <c:pt idx="555">
                  <c:v>310.43479950028222</c:v>
                </c:pt>
                <c:pt idx="556">
                  <c:v>311.8447064160485</c:v>
                </c:pt>
                <c:pt idx="557">
                  <c:v>313.25342462642072</c:v>
                </c:pt>
                <c:pt idx="558">
                  <c:v>314.66091536123264</c:v>
                </c:pt>
                <c:pt idx="559">
                  <c:v>316.06713923211993</c:v>
                </c:pt>
                <c:pt idx="560">
                  <c:v>317.47205631165997</c:v>
                </c:pt>
                <c:pt idx="561">
                  <c:v>318.87562620470368</c:v>
                </c:pt>
                <c:pt idx="562">
                  <c:v>320.27780811275272</c:v>
                </c:pt>
                <c:pt idx="563">
                  <c:v>321.67856089215644</c:v>
                </c:pt>
                <c:pt idx="564">
                  <c:v>323.07784310682456</c:v>
                </c:pt>
                <c:pt idx="565">
                  <c:v>324.47561307607668</c:v>
                </c:pt>
                <c:pt idx="566">
                  <c:v>325.87182891817957</c:v>
                </c:pt>
                <c:pt idx="567">
                  <c:v>327.26644859005893</c:v>
                </c:pt>
                <c:pt idx="568">
                  <c:v>328.65942992361562</c:v>
                </c:pt>
                <c:pt idx="569">
                  <c:v>330.05073065902343</c:v>
                </c:pt>
                <c:pt idx="570">
                  <c:v>331.44030847534054</c:v>
                </c:pt>
                <c:pt idx="571">
                  <c:v>332.82812101872673</c:v>
                </c:pt>
                <c:pt idx="572">
                  <c:v>334.21412592852158</c:v>
                </c:pt>
                <c:pt idx="573">
                  <c:v>335.59828086140959</c:v>
                </c:pt>
                <c:pt idx="574">
                  <c:v>336.98054351386895</c:v>
                </c:pt>
                <c:pt idx="575">
                  <c:v>338.36087164307884</c:v>
                </c:pt>
                <c:pt idx="576">
                  <c:v>339.73922308643768</c:v>
                </c:pt>
                <c:pt idx="577">
                  <c:v>341.1155557798275</c:v>
                </c:pt>
                <c:pt idx="578">
                  <c:v>342.48982777474356</c:v>
                </c:pt>
                <c:pt idx="579">
                  <c:v>343.86199725439417</c:v>
                </c:pt>
                <c:pt idx="580">
                  <c:v>345.23202254886388</c:v>
                </c:pt>
                <c:pt idx="581">
                  <c:v>346.59986214942239</c:v>
                </c:pt>
                <c:pt idx="582">
                  <c:v>347.96547472205236</c:v>
                </c:pt>
                <c:pt idx="583">
                  <c:v>349.32881912026079</c:v>
                </c:pt>
                <c:pt idx="584">
                  <c:v>350.68985439723178</c:v>
                </c:pt>
                <c:pt idx="585">
                  <c:v>352.04853981737256</c:v>
                </c:pt>
                <c:pt idx="586">
                  <c:v>353.40483486729767</c:v>
                </c:pt>
                <c:pt idx="587">
                  <c:v>354.75869926629343</c:v>
                </c:pt>
                <c:pt idx="588">
                  <c:v>356.11009297629857</c:v>
                </c:pt>
                <c:pt idx="589">
                  <c:v>357.45897621143405</c:v>
                </c:pt>
                <c:pt idx="590">
                  <c:v>358.80530944711165</c:v>
                </c:pt>
                <c:pt idx="591">
                  <c:v>360.149053428748</c:v>
                </c:pt>
                <c:pt idx="592">
                  <c:v>361.49016918010733</c:v>
                </c:pt>
                <c:pt idx="593">
                  <c:v>362.82861801129491</c:v>
                </c:pt>
                <c:pt idx="594">
                  <c:v>364.16436152642046</c:v>
                </c:pt>
                <c:pt idx="595">
                  <c:v>365.49736163094883</c:v>
                </c:pt>
                <c:pt idx="596">
                  <c:v>366.82758053875409</c:v>
                </c:pt>
                <c:pt idx="597">
                  <c:v>368.15498077889123</c:v>
                </c:pt>
                <c:pt idx="598">
                  <c:v>369.47952520209867</c:v>
                </c:pt>
                <c:pt idx="599">
                  <c:v>370.80117698704316</c:v>
                </c:pt>
                <c:pt idx="600">
                  <c:v>372.11989964631834</c:v>
                </c:pt>
                <c:pt idx="601">
                  <c:v>373.43565703220628</c:v>
                </c:pt>
                <c:pt idx="602">
                  <c:v>374.74841334221162</c:v>
                </c:pt>
                <c:pt idx="603">
                  <c:v>376.05813312437607</c:v>
                </c:pt>
                <c:pt idx="604">
                  <c:v>377.36478128238093</c:v>
                </c:pt>
                <c:pt idx="605">
                  <c:v>378.66832308044496</c:v>
                </c:pt>
                <c:pt idx="606">
                  <c:v>379.96872414802351</c:v>
                </c:pt>
                <c:pt idx="607">
                  <c:v>381.26595048431506</c:v>
                </c:pt>
                <c:pt idx="608">
                  <c:v>382.5599684625808</c:v>
                </c:pt>
                <c:pt idx="609">
                  <c:v>383.85074483428184</c:v>
                </c:pt>
                <c:pt idx="610">
                  <c:v>385.13824673303941</c:v>
                </c:pt>
                <c:pt idx="611">
                  <c:v>386.42244167842159</c:v>
                </c:pt>
                <c:pt idx="612">
                  <c:v>387.70329757956165</c:v>
                </c:pt>
                <c:pt idx="613">
                  <c:v>388.98078273861097</c:v>
                </c:pt>
                <c:pt idx="614">
                  <c:v>390.25486585403053</c:v>
                </c:pt>
                <c:pt idx="615">
                  <c:v>391.52551602372432</c:v>
                </c:pt>
                <c:pt idx="616">
                  <c:v>392.79270274801775</c:v>
                </c:pt>
                <c:pt idx="617">
                  <c:v>394.05639593248412</c:v>
                </c:pt>
                <c:pt idx="618">
                  <c:v>395.31656589062209</c:v>
                </c:pt>
                <c:pt idx="619">
                  <c:v>396.57318334638666</c:v>
                </c:pt>
                <c:pt idx="620">
                  <c:v>397.82621943657637</c:v>
                </c:pt>
                <c:pt idx="621">
                  <c:v>399.07564571307927</c:v>
                </c:pt>
                <c:pt idx="622">
                  <c:v>400.32143414497983</c:v>
                </c:pt>
                <c:pt idx="623">
                  <c:v>401.56355712052931</c:v>
                </c:pt>
                <c:pt idx="624">
                  <c:v>402.80198744898149</c:v>
                </c:pt>
                <c:pt idx="625">
                  <c:v>404.03669836229619</c:v>
                </c:pt>
                <c:pt idx="626">
                  <c:v>405.26766351671262</c:v>
                </c:pt>
                <c:pt idx="627">
                  <c:v>406.49485699419409</c:v>
                </c:pt>
                <c:pt idx="628">
                  <c:v>407.71825330374696</c:v>
                </c:pt>
                <c:pt idx="629">
                  <c:v>408.93782738261456</c:v>
                </c:pt>
                <c:pt idx="630">
                  <c:v>410.15355459734911</c:v>
                </c:pt>
                <c:pt idx="631">
                  <c:v>411.36541074476264</c:v>
                </c:pt>
                <c:pt idx="632">
                  <c:v>412.57337205275905</c:v>
                </c:pt>
                <c:pt idx="633">
                  <c:v>413.77741518104909</c:v>
                </c:pt>
                <c:pt idx="634">
                  <c:v>414.97751722174996</c:v>
                </c:pt>
                <c:pt idx="635">
                  <c:v>416.17365569987129</c:v>
                </c:pt>
                <c:pt idx="636">
                  <c:v>417.36580857368909</c:v>
                </c:pt>
                <c:pt idx="637">
                  <c:v>418.55395423500948</c:v>
                </c:pt>
                <c:pt idx="638">
                  <c:v>419.73807150932396</c:v>
                </c:pt>
                <c:pt idx="639">
                  <c:v>420.9181396558576</c:v>
                </c:pt>
                <c:pt idx="640">
                  <c:v>422.09413836751219</c:v>
                </c:pt>
                <c:pt idx="641">
                  <c:v>423.26604777070571</c:v>
                </c:pt>
                <c:pt idx="642">
                  <c:v>424.43384842510989</c:v>
                </c:pt>
                <c:pt idx="643">
                  <c:v>425.59752132328742</c:v>
                </c:pt>
                <c:pt idx="644">
                  <c:v>426.75704789023058</c:v>
                </c:pt>
                <c:pt idx="645">
                  <c:v>427.91240998280273</c:v>
                </c:pt>
                <c:pt idx="646">
                  <c:v>429.06358988908454</c:v>
                </c:pt>
                <c:pt idx="647">
                  <c:v>430.21057032762621</c:v>
                </c:pt>
                <c:pt idx="648">
                  <c:v>431.35333444660785</c:v>
                </c:pt>
                <c:pt idx="649">
                  <c:v>432.49186582290895</c:v>
                </c:pt>
                <c:pt idx="650">
                  <c:v>433.62614846108926</c:v>
                </c:pt>
                <c:pt idx="651">
                  <c:v>434.7561667922821</c:v>
                </c:pt>
                <c:pt idx="652">
                  <c:v>435.88190567300228</c:v>
                </c:pt>
                <c:pt idx="653">
                  <c:v>437.00335038386959</c:v>
                </c:pt>
                <c:pt idx="654">
                  <c:v>438.12048662825021</c:v>
                </c:pt>
                <c:pt idx="655">
                  <c:v>439.2333005308169</c:v>
                </c:pt>
                <c:pt idx="656">
                  <c:v>440.34177863603037</c:v>
                </c:pt>
                <c:pt idx="657">
                  <c:v>441.44590790654274</c:v>
                </c:pt>
                <c:pt idx="658">
                  <c:v>442.54567572152513</c:v>
                </c:pt>
                <c:pt idx="659">
                  <c:v>443.64106987492079</c:v>
                </c:pt>
                <c:pt idx="660">
                  <c:v>444.73207857362564</c:v>
                </c:pt>
                <c:pt idx="661">
                  <c:v>445.81869043559743</c:v>
                </c:pt>
                <c:pt idx="662">
                  <c:v>446.90089448789547</c:v>
                </c:pt>
                <c:pt idx="663">
                  <c:v>447.9786801646523</c:v>
                </c:pt>
                <c:pt idx="664">
                  <c:v>449.05203730497908</c:v>
                </c:pt>
                <c:pt idx="665">
                  <c:v>450.12095615080625</c:v>
                </c:pt>
                <c:pt idx="666">
                  <c:v>451.18542734466092</c:v>
                </c:pt>
                <c:pt idx="667">
                  <c:v>452.24544192738279</c:v>
                </c:pt>
                <c:pt idx="668">
                  <c:v>453.30099133578</c:v>
                </c:pt>
                <c:pt idx="669">
                  <c:v>454.35206740022653</c:v>
                </c:pt>
                <c:pt idx="670">
                  <c:v>455.39866234220301</c:v>
                </c:pt>
                <c:pt idx="671">
                  <c:v>456.4407687717819</c:v>
                </c:pt>
                <c:pt idx="672">
                  <c:v>457.47837968505922</c:v>
                </c:pt>
                <c:pt idx="673">
                  <c:v>458.51148846153404</c:v>
                </c:pt>
                <c:pt idx="674">
                  <c:v>459.54008886143748</c:v>
                </c:pt>
                <c:pt idx="675">
                  <c:v>460.56417502301247</c:v>
                </c:pt>
                <c:pt idx="676">
                  <c:v>461.58374145974608</c:v>
                </c:pt>
                <c:pt idx="677">
                  <c:v>462.59878305755586</c:v>
                </c:pt>
                <c:pt idx="678">
                  <c:v>463.6092950719318</c:v>
                </c:pt>
                <c:pt idx="679">
                  <c:v>464.615273125035</c:v>
                </c:pt>
                <c:pt idx="680">
                  <c:v>465.61671320275525</c:v>
                </c:pt>
                <c:pt idx="681">
                  <c:v>466.61361165172843</c:v>
                </c:pt>
                <c:pt idx="682">
                  <c:v>467.60596517631524</c:v>
                </c:pt>
                <c:pt idx="683">
                  <c:v>468.59377083554324</c:v>
                </c:pt>
                <c:pt idx="684">
                  <c:v>469.57702604001292</c:v>
                </c:pt>
                <c:pt idx="685">
                  <c:v>470.55572854877005</c:v>
                </c:pt>
                <c:pt idx="686">
                  <c:v>471.52987646614474</c:v>
                </c:pt>
                <c:pt idx="687">
                  <c:v>472.49946823855981</c:v>
                </c:pt>
                <c:pt idx="688">
                  <c:v>473.46450265130869</c:v>
                </c:pt>
                <c:pt idx="689">
                  <c:v>474.42497882530529</c:v>
                </c:pt>
                <c:pt idx="690">
                  <c:v>475.38089621380641</c:v>
                </c:pt>
                <c:pt idx="691">
                  <c:v>476.33225459910847</c:v>
                </c:pt>
                <c:pt idx="692">
                  <c:v>477.27905408921987</c:v>
                </c:pt>
                <c:pt idx="693">
                  <c:v>478.22129511451033</c:v>
                </c:pt>
                <c:pt idx="694">
                  <c:v>479.1589784243381</c:v>
                </c:pt>
                <c:pt idx="695">
                  <c:v>480.09210508365715</c:v>
                </c:pt>
                <c:pt idx="696">
                  <c:v>481.02067646960489</c:v>
                </c:pt>
                <c:pt idx="697">
                  <c:v>481.94469426807211</c:v>
                </c:pt>
                <c:pt idx="698">
                  <c:v>482.86416047025614</c:v>
                </c:pt>
                <c:pt idx="699">
                  <c:v>483.77907736919877</c:v>
                </c:pt>
                <c:pt idx="700">
                  <c:v>484.6894475563098</c:v>
                </c:pt>
                <c:pt idx="701">
                  <c:v>485.59527391787771</c:v>
                </c:pt>
                <c:pt idx="702">
                  <c:v>486.49655963156846</c:v>
                </c:pt>
                <c:pt idx="703">
                  <c:v>487.39330816291368</c:v>
                </c:pt>
                <c:pt idx="704">
                  <c:v>488.28552326178942</c:v>
                </c:pt>
                <c:pt idx="705">
                  <c:v>489.17320895888651</c:v>
                </c:pt>
                <c:pt idx="706">
                  <c:v>490.05636956217364</c:v>
                </c:pt>
                <c:pt idx="707">
                  <c:v>490.93500965335443</c:v>
                </c:pt>
                <c:pt idx="708">
                  <c:v>491.80913408431945</c:v>
                </c:pt>
                <c:pt idx="709">
                  <c:v>492.67874797359406</c:v>
                </c:pt>
                <c:pt idx="710">
                  <c:v>493.54385670278356</c:v>
                </c:pt>
                <c:pt idx="711">
                  <c:v>494.40446591301628</c:v>
                </c:pt>
                <c:pt idx="712">
                  <c:v>495.26058150138584</c:v>
                </c:pt>
                <c:pt idx="713">
                  <c:v>496.11220961739332</c:v>
                </c:pt>
                <c:pt idx="714">
                  <c:v>496.95935665939083</c:v>
                </c:pt>
                <c:pt idx="715">
                  <c:v>497.8020292710267</c:v>
                </c:pt>
                <c:pt idx="716">
                  <c:v>498.64023433769376</c:v>
                </c:pt>
                <c:pt idx="717">
                  <c:v>499.47397898298163</c:v>
                </c:pt>
                <c:pt idx="718">
                  <c:v>500.30327056513352</c:v>
                </c:pt>
                <c:pt idx="719">
                  <c:v>501.12811667350866</c:v>
                </c:pt>
                <c:pt idx="720">
                  <c:v>501.9485251250515</c:v>
                </c:pt>
                <c:pt idx="721">
                  <c:v>502.7645039607678</c:v>
                </c:pt>
                <c:pt idx="722">
                  <c:v>503.57606144220915</c:v>
                </c:pt>
                <c:pt idx="723">
                  <c:v>504.38320604796644</c:v>
                </c:pt>
                <c:pt idx="724">
                  <c:v>505.18594647017267</c:v>
                </c:pt>
                <c:pt idx="725">
                  <c:v>505.98429161101689</c:v>
                </c:pt>
                <c:pt idx="726">
                  <c:v>506.77825057926867</c:v>
                </c:pt>
                <c:pt idx="727">
                  <c:v>507.56783268681505</c:v>
                </c:pt>
                <c:pt idx="728">
                  <c:v>508.35304744520988</c:v>
                </c:pt>
                <c:pt idx="729">
                  <c:v>509.13390456223658</c:v>
                </c:pt>
                <c:pt idx="730">
                  <c:v>509.91041393848485</c:v>
                </c:pt>
                <c:pt idx="731">
                  <c:v>510.68258566394218</c:v>
                </c:pt>
                <c:pt idx="732">
                  <c:v>511.45043001460056</c:v>
                </c:pt>
                <c:pt idx="733">
                  <c:v>512.21395744907909</c:v>
                </c:pt>
                <c:pt idx="734">
                  <c:v>512.97317860526334</c:v>
                </c:pt>
                <c:pt idx="735">
                  <c:v>513.72810429696142</c:v>
                </c:pt>
                <c:pt idx="736">
                  <c:v>514.47874551057805</c:v>
                </c:pt>
                <c:pt idx="737">
                  <c:v>515.22511340180665</c:v>
                </c:pt>
                <c:pt idx="738">
                  <c:v>515.22511340180665</c:v>
                </c:pt>
                <c:pt idx="739">
                  <c:v>515.22511340180665</c:v>
                </c:pt>
                <c:pt idx="740">
                  <c:v>515.22511340180665</c:v>
                </c:pt>
                <c:pt idx="741">
                  <c:v>515.22511340180665</c:v>
                </c:pt>
                <c:pt idx="742">
                  <c:v>515.22511340180665</c:v>
                </c:pt>
                <c:pt idx="743">
                  <c:v>515.22511340180665</c:v>
                </c:pt>
                <c:pt idx="744">
                  <c:v>515.22511340180665</c:v>
                </c:pt>
                <c:pt idx="745">
                  <c:v>515.22511340180665</c:v>
                </c:pt>
                <c:pt idx="746">
                  <c:v>515.22511340180665</c:v>
                </c:pt>
                <c:pt idx="747">
                  <c:v>515.22511340180665</c:v>
                </c:pt>
                <c:pt idx="748">
                  <c:v>515.22511340180665</c:v>
                </c:pt>
                <c:pt idx="749">
                  <c:v>515.22511340180665</c:v>
                </c:pt>
                <c:pt idx="750">
                  <c:v>515.22511340180665</c:v>
                </c:pt>
                <c:pt idx="751">
                  <c:v>515.22511340180665</c:v>
                </c:pt>
                <c:pt idx="752">
                  <c:v>515.22511340180665</c:v>
                </c:pt>
                <c:pt idx="753">
                  <c:v>515.22511340180665</c:v>
                </c:pt>
                <c:pt idx="754">
                  <c:v>515.22511340180665</c:v>
                </c:pt>
                <c:pt idx="755">
                  <c:v>515.22511340180665</c:v>
                </c:pt>
                <c:pt idx="756">
                  <c:v>515.22511340180665</c:v>
                </c:pt>
                <c:pt idx="757">
                  <c:v>515.22511340180665</c:v>
                </c:pt>
                <c:pt idx="758">
                  <c:v>515.22511340180665</c:v>
                </c:pt>
                <c:pt idx="759">
                  <c:v>515.22511340180665</c:v>
                </c:pt>
                <c:pt idx="760">
                  <c:v>515.22511340180665</c:v>
                </c:pt>
                <c:pt idx="761">
                  <c:v>515.22511340180665</c:v>
                </c:pt>
                <c:pt idx="762">
                  <c:v>515.22511340180665</c:v>
                </c:pt>
                <c:pt idx="763">
                  <c:v>515.22511340180665</c:v>
                </c:pt>
                <c:pt idx="764">
                  <c:v>515.22511340180665</c:v>
                </c:pt>
                <c:pt idx="765">
                  <c:v>515.22511340180665</c:v>
                </c:pt>
                <c:pt idx="766">
                  <c:v>515.22511340180665</c:v>
                </c:pt>
                <c:pt idx="767">
                  <c:v>515.22511340180665</c:v>
                </c:pt>
                <c:pt idx="768">
                  <c:v>515.22511340180665</c:v>
                </c:pt>
                <c:pt idx="769">
                  <c:v>515.22511340180665</c:v>
                </c:pt>
                <c:pt idx="770">
                  <c:v>515.22511340180665</c:v>
                </c:pt>
                <c:pt idx="771">
                  <c:v>515.22511340180665</c:v>
                </c:pt>
                <c:pt idx="772">
                  <c:v>515.22511340180665</c:v>
                </c:pt>
                <c:pt idx="773">
                  <c:v>515.22511340180665</c:v>
                </c:pt>
                <c:pt idx="774">
                  <c:v>515.22511340180665</c:v>
                </c:pt>
                <c:pt idx="775">
                  <c:v>515.22511340180665</c:v>
                </c:pt>
                <c:pt idx="776">
                  <c:v>515.22511340180665</c:v>
                </c:pt>
                <c:pt idx="777">
                  <c:v>515.22511340180665</c:v>
                </c:pt>
                <c:pt idx="778">
                  <c:v>515.22511340180665</c:v>
                </c:pt>
                <c:pt idx="779">
                  <c:v>515.22511340180665</c:v>
                </c:pt>
                <c:pt idx="780">
                  <c:v>515.22511340180665</c:v>
                </c:pt>
                <c:pt idx="781">
                  <c:v>515.22511340180665</c:v>
                </c:pt>
                <c:pt idx="782">
                  <c:v>515.22511340180665</c:v>
                </c:pt>
                <c:pt idx="783">
                  <c:v>515.22511340180665</c:v>
                </c:pt>
                <c:pt idx="784">
                  <c:v>515.22511340180665</c:v>
                </c:pt>
                <c:pt idx="785">
                  <c:v>515.22511340180665</c:v>
                </c:pt>
                <c:pt idx="786">
                  <c:v>515.22511340180665</c:v>
                </c:pt>
                <c:pt idx="787">
                  <c:v>515.22511340180665</c:v>
                </c:pt>
                <c:pt idx="788">
                  <c:v>515.22511340180665</c:v>
                </c:pt>
                <c:pt idx="789">
                  <c:v>515.22511340180665</c:v>
                </c:pt>
                <c:pt idx="790">
                  <c:v>515.22511340180665</c:v>
                </c:pt>
                <c:pt idx="791">
                  <c:v>515.22511340180665</c:v>
                </c:pt>
                <c:pt idx="792">
                  <c:v>515.22511340180665</c:v>
                </c:pt>
                <c:pt idx="793">
                  <c:v>515.22511340180665</c:v>
                </c:pt>
                <c:pt idx="794">
                  <c:v>515.22511340180665</c:v>
                </c:pt>
                <c:pt idx="795">
                  <c:v>515.22511340180665</c:v>
                </c:pt>
                <c:pt idx="796">
                  <c:v>515.22511340180665</c:v>
                </c:pt>
                <c:pt idx="797">
                  <c:v>515.22511340180665</c:v>
                </c:pt>
                <c:pt idx="798">
                  <c:v>515.22511340180665</c:v>
                </c:pt>
                <c:pt idx="799">
                  <c:v>515.22511340180665</c:v>
                </c:pt>
                <c:pt idx="800">
                  <c:v>515.22511340180665</c:v>
                </c:pt>
                <c:pt idx="801">
                  <c:v>515.22511340180665</c:v>
                </c:pt>
                <c:pt idx="802">
                  <c:v>515.22511340180665</c:v>
                </c:pt>
                <c:pt idx="803">
                  <c:v>515.22511340180665</c:v>
                </c:pt>
                <c:pt idx="804">
                  <c:v>515.22511340180665</c:v>
                </c:pt>
                <c:pt idx="805">
                  <c:v>515.22511340180665</c:v>
                </c:pt>
                <c:pt idx="806">
                  <c:v>515.22511340180665</c:v>
                </c:pt>
                <c:pt idx="807">
                  <c:v>515.22511340180665</c:v>
                </c:pt>
                <c:pt idx="808">
                  <c:v>515.22511340180665</c:v>
                </c:pt>
                <c:pt idx="809">
                  <c:v>515.22511340180665</c:v>
                </c:pt>
                <c:pt idx="810">
                  <c:v>515.22511340180665</c:v>
                </c:pt>
                <c:pt idx="811">
                  <c:v>515.22511340180665</c:v>
                </c:pt>
                <c:pt idx="812">
                  <c:v>515.22511340180665</c:v>
                </c:pt>
                <c:pt idx="813">
                  <c:v>515.22511340180665</c:v>
                </c:pt>
                <c:pt idx="814">
                  <c:v>515.22511340180665</c:v>
                </c:pt>
                <c:pt idx="815">
                  <c:v>515.22511340180665</c:v>
                </c:pt>
                <c:pt idx="816">
                  <c:v>515.22511340180665</c:v>
                </c:pt>
                <c:pt idx="817">
                  <c:v>515.22511340180665</c:v>
                </c:pt>
                <c:pt idx="818">
                  <c:v>515.22511340180665</c:v>
                </c:pt>
                <c:pt idx="819">
                  <c:v>515.22511340180665</c:v>
                </c:pt>
                <c:pt idx="820">
                  <c:v>515.22511340180665</c:v>
                </c:pt>
                <c:pt idx="821">
                  <c:v>515.22511340180665</c:v>
                </c:pt>
                <c:pt idx="822">
                  <c:v>515.22511340180665</c:v>
                </c:pt>
                <c:pt idx="823">
                  <c:v>515.22511340180665</c:v>
                </c:pt>
                <c:pt idx="824">
                  <c:v>515.22511340180665</c:v>
                </c:pt>
                <c:pt idx="825">
                  <c:v>515.22511340180665</c:v>
                </c:pt>
                <c:pt idx="826">
                  <c:v>515.22511340180665</c:v>
                </c:pt>
                <c:pt idx="827">
                  <c:v>515.22511340180665</c:v>
                </c:pt>
                <c:pt idx="828">
                  <c:v>515.22511340180665</c:v>
                </c:pt>
                <c:pt idx="829">
                  <c:v>515.22511340180665</c:v>
                </c:pt>
                <c:pt idx="830">
                  <c:v>515.22511340180665</c:v>
                </c:pt>
                <c:pt idx="831">
                  <c:v>515.22511340180665</c:v>
                </c:pt>
                <c:pt idx="832">
                  <c:v>515.22511340180665</c:v>
                </c:pt>
                <c:pt idx="833">
                  <c:v>515.22511340180665</c:v>
                </c:pt>
                <c:pt idx="834">
                  <c:v>515.22511340180665</c:v>
                </c:pt>
                <c:pt idx="835">
                  <c:v>515.22511340180665</c:v>
                </c:pt>
                <c:pt idx="836">
                  <c:v>515.22511340180665</c:v>
                </c:pt>
                <c:pt idx="837">
                  <c:v>515.22511340180665</c:v>
                </c:pt>
                <c:pt idx="838">
                  <c:v>515.22511340180665</c:v>
                </c:pt>
                <c:pt idx="839">
                  <c:v>515.22511340180665</c:v>
                </c:pt>
                <c:pt idx="840">
                  <c:v>515.22511340180665</c:v>
                </c:pt>
                <c:pt idx="841">
                  <c:v>515.22511340180665</c:v>
                </c:pt>
                <c:pt idx="842">
                  <c:v>515.22511340180665</c:v>
                </c:pt>
                <c:pt idx="843">
                  <c:v>515.22511340180665</c:v>
                </c:pt>
                <c:pt idx="844">
                  <c:v>515.22511340180665</c:v>
                </c:pt>
                <c:pt idx="845">
                  <c:v>515.22511340180665</c:v>
                </c:pt>
                <c:pt idx="846">
                  <c:v>515.22511340180665</c:v>
                </c:pt>
                <c:pt idx="847">
                  <c:v>515.22511340180665</c:v>
                </c:pt>
                <c:pt idx="848">
                  <c:v>515.22511340180665</c:v>
                </c:pt>
                <c:pt idx="849">
                  <c:v>515.22511340180665</c:v>
                </c:pt>
                <c:pt idx="850">
                  <c:v>515.22511340180665</c:v>
                </c:pt>
                <c:pt idx="851">
                  <c:v>515.22511340180665</c:v>
                </c:pt>
                <c:pt idx="852">
                  <c:v>515.22511340180665</c:v>
                </c:pt>
                <c:pt idx="853">
                  <c:v>515.22511340180665</c:v>
                </c:pt>
                <c:pt idx="854">
                  <c:v>515.22511340180665</c:v>
                </c:pt>
                <c:pt idx="855">
                  <c:v>515.22511340180665</c:v>
                </c:pt>
                <c:pt idx="856">
                  <c:v>515.22511340180665</c:v>
                </c:pt>
                <c:pt idx="857">
                  <c:v>515.22511340180665</c:v>
                </c:pt>
                <c:pt idx="858">
                  <c:v>515.22511340180665</c:v>
                </c:pt>
                <c:pt idx="859">
                  <c:v>515.22511340180665</c:v>
                </c:pt>
                <c:pt idx="860">
                  <c:v>515.22511340180665</c:v>
                </c:pt>
                <c:pt idx="861">
                  <c:v>515.22511340180665</c:v>
                </c:pt>
                <c:pt idx="862">
                  <c:v>515.22511340180665</c:v>
                </c:pt>
                <c:pt idx="863">
                  <c:v>515.22511340180665</c:v>
                </c:pt>
                <c:pt idx="864">
                  <c:v>515.22511340180665</c:v>
                </c:pt>
                <c:pt idx="865">
                  <c:v>515.22511340180665</c:v>
                </c:pt>
                <c:pt idx="866">
                  <c:v>515.22511340180665</c:v>
                </c:pt>
                <c:pt idx="867">
                  <c:v>515.22511340180665</c:v>
                </c:pt>
                <c:pt idx="868">
                  <c:v>515.22511340180665</c:v>
                </c:pt>
                <c:pt idx="869">
                  <c:v>515.22511340180665</c:v>
                </c:pt>
                <c:pt idx="870">
                  <c:v>515.22511340180665</c:v>
                </c:pt>
                <c:pt idx="871">
                  <c:v>515.22511340180665</c:v>
                </c:pt>
                <c:pt idx="872">
                  <c:v>515.22511340180665</c:v>
                </c:pt>
                <c:pt idx="873">
                  <c:v>515.22511340180665</c:v>
                </c:pt>
                <c:pt idx="874">
                  <c:v>515.22511340180665</c:v>
                </c:pt>
                <c:pt idx="875">
                  <c:v>515.22511340180665</c:v>
                </c:pt>
                <c:pt idx="876">
                  <c:v>515.22511340180665</c:v>
                </c:pt>
                <c:pt idx="877">
                  <c:v>515.22511340180665</c:v>
                </c:pt>
                <c:pt idx="878">
                  <c:v>515.22511340180665</c:v>
                </c:pt>
                <c:pt idx="879">
                  <c:v>515.22511340180665</c:v>
                </c:pt>
                <c:pt idx="880">
                  <c:v>515.22511340180665</c:v>
                </c:pt>
                <c:pt idx="881">
                  <c:v>515.22511340180665</c:v>
                </c:pt>
                <c:pt idx="882">
                  <c:v>515.22511340180665</c:v>
                </c:pt>
                <c:pt idx="883">
                  <c:v>515.22511340180665</c:v>
                </c:pt>
                <c:pt idx="884">
                  <c:v>515.22511340180665</c:v>
                </c:pt>
                <c:pt idx="885">
                  <c:v>515.22511340180665</c:v>
                </c:pt>
                <c:pt idx="886">
                  <c:v>515.22511340180665</c:v>
                </c:pt>
                <c:pt idx="887">
                  <c:v>515.22511340180665</c:v>
                </c:pt>
                <c:pt idx="888">
                  <c:v>515.22511340180665</c:v>
                </c:pt>
                <c:pt idx="889">
                  <c:v>515.22511340180665</c:v>
                </c:pt>
                <c:pt idx="890">
                  <c:v>515.22511340180665</c:v>
                </c:pt>
                <c:pt idx="891">
                  <c:v>515.22511340180665</c:v>
                </c:pt>
                <c:pt idx="892">
                  <c:v>515.22511340180665</c:v>
                </c:pt>
                <c:pt idx="893">
                  <c:v>515.22511340180665</c:v>
                </c:pt>
                <c:pt idx="894">
                  <c:v>515.22511340180665</c:v>
                </c:pt>
                <c:pt idx="895">
                  <c:v>515.22511340180665</c:v>
                </c:pt>
                <c:pt idx="896">
                  <c:v>515.22511340180665</c:v>
                </c:pt>
                <c:pt idx="897">
                  <c:v>515.22511340180665</c:v>
                </c:pt>
                <c:pt idx="898">
                  <c:v>515.22511340180665</c:v>
                </c:pt>
                <c:pt idx="899">
                  <c:v>515.22511340180665</c:v>
                </c:pt>
                <c:pt idx="900">
                  <c:v>515.22511340180665</c:v>
                </c:pt>
                <c:pt idx="901">
                  <c:v>515.22511340180665</c:v>
                </c:pt>
                <c:pt idx="902">
                  <c:v>515.22511340180665</c:v>
                </c:pt>
                <c:pt idx="903">
                  <c:v>515.22511340180665</c:v>
                </c:pt>
                <c:pt idx="904">
                  <c:v>515.22511340180665</c:v>
                </c:pt>
                <c:pt idx="905">
                  <c:v>515.22511340180665</c:v>
                </c:pt>
                <c:pt idx="906">
                  <c:v>515.22511340180665</c:v>
                </c:pt>
                <c:pt idx="907">
                  <c:v>515.22511340180665</c:v>
                </c:pt>
                <c:pt idx="908">
                  <c:v>515.22511340180665</c:v>
                </c:pt>
                <c:pt idx="909">
                  <c:v>515.22511340180665</c:v>
                </c:pt>
                <c:pt idx="910">
                  <c:v>515.22511340180665</c:v>
                </c:pt>
                <c:pt idx="911">
                  <c:v>515.22511340180665</c:v>
                </c:pt>
                <c:pt idx="912">
                  <c:v>515.22511340180665</c:v>
                </c:pt>
                <c:pt idx="913">
                  <c:v>515.22511340180665</c:v>
                </c:pt>
                <c:pt idx="914">
                  <c:v>515.22511340180665</c:v>
                </c:pt>
                <c:pt idx="915">
                  <c:v>515.22511340180665</c:v>
                </c:pt>
                <c:pt idx="916">
                  <c:v>515.22511340180665</c:v>
                </c:pt>
                <c:pt idx="917">
                  <c:v>515.22511340180665</c:v>
                </c:pt>
                <c:pt idx="918">
                  <c:v>515.22511340180665</c:v>
                </c:pt>
                <c:pt idx="919">
                  <c:v>515.22511340180665</c:v>
                </c:pt>
                <c:pt idx="920">
                  <c:v>515.22511340180665</c:v>
                </c:pt>
                <c:pt idx="921">
                  <c:v>515.22511340180665</c:v>
                </c:pt>
                <c:pt idx="922">
                  <c:v>515.22511340180665</c:v>
                </c:pt>
                <c:pt idx="923">
                  <c:v>515.22511340180665</c:v>
                </c:pt>
                <c:pt idx="924">
                  <c:v>515.22511340180665</c:v>
                </c:pt>
                <c:pt idx="925">
                  <c:v>515.22511340180665</c:v>
                </c:pt>
                <c:pt idx="926">
                  <c:v>515.22511340180665</c:v>
                </c:pt>
                <c:pt idx="927">
                  <c:v>515.22511340180665</c:v>
                </c:pt>
                <c:pt idx="928">
                  <c:v>515.22511340180665</c:v>
                </c:pt>
                <c:pt idx="929">
                  <c:v>515.22511340180665</c:v>
                </c:pt>
                <c:pt idx="930">
                  <c:v>515.22511340180665</c:v>
                </c:pt>
                <c:pt idx="931">
                  <c:v>515.22511340180665</c:v>
                </c:pt>
                <c:pt idx="932">
                  <c:v>515.22511340180665</c:v>
                </c:pt>
                <c:pt idx="933">
                  <c:v>515.22511340180665</c:v>
                </c:pt>
                <c:pt idx="934">
                  <c:v>515.22511340180665</c:v>
                </c:pt>
                <c:pt idx="935">
                  <c:v>515.22511340180665</c:v>
                </c:pt>
                <c:pt idx="936">
                  <c:v>515.22511340180665</c:v>
                </c:pt>
                <c:pt idx="937">
                  <c:v>515.22511340180665</c:v>
                </c:pt>
                <c:pt idx="938">
                  <c:v>515.22511340180665</c:v>
                </c:pt>
                <c:pt idx="939">
                  <c:v>515.22511340180665</c:v>
                </c:pt>
                <c:pt idx="940">
                  <c:v>515.22511340180665</c:v>
                </c:pt>
                <c:pt idx="941">
                  <c:v>515.22511340180665</c:v>
                </c:pt>
                <c:pt idx="942">
                  <c:v>515.22511340180665</c:v>
                </c:pt>
                <c:pt idx="943">
                  <c:v>515.22511340180665</c:v>
                </c:pt>
                <c:pt idx="944">
                  <c:v>515.22511340180665</c:v>
                </c:pt>
                <c:pt idx="945">
                  <c:v>515.22511340180665</c:v>
                </c:pt>
                <c:pt idx="946">
                  <c:v>515.22511340180665</c:v>
                </c:pt>
                <c:pt idx="947">
                  <c:v>515.22511340180665</c:v>
                </c:pt>
                <c:pt idx="948">
                  <c:v>515.22511340180665</c:v>
                </c:pt>
                <c:pt idx="949">
                  <c:v>515.22511340180665</c:v>
                </c:pt>
                <c:pt idx="950">
                  <c:v>515.22511340180665</c:v>
                </c:pt>
                <c:pt idx="951">
                  <c:v>515.22511340180665</c:v>
                </c:pt>
                <c:pt idx="952">
                  <c:v>515.22511340180665</c:v>
                </c:pt>
                <c:pt idx="953">
                  <c:v>515.22511340180665</c:v>
                </c:pt>
                <c:pt idx="954">
                  <c:v>515.22511340180665</c:v>
                </c:pt>
                <c:pt idx="955">
                  <c:v>515.22511340180665</c:v>
                </c:pt>
                <c:pt idx="956">
                  <c:v>515.22511340180665</c:v>
                </c:pt>
                <c:pt idx="957">
                  <c:v>515.22511340180665</c:v>
                </c:pt>
                <c:pt idx="958">
                  <c:v>515.22511340180665</c:v>
                </c:pt>
                <c:pt idx="959">
                  <c:v>515.22511340180665</c:v>
                </c:pt>
                <c:pt idx="960">
                  <c:v>515.22511340180665</c:v>
                </c:pt>
                <c:pt idx="961">
                  <c:v>515.22511340180665</c:v>
                </c:pt>
                <c:pt idx="962">
                  <c:v>515.22511340180665</c:v>
                </c:pt>
                <c:pt idx="963">
                  <c:v>515.22511340180665</c:v>
                </c:pt>
                <c:pt idx="964">
                  <c:v>515.22511340180665</c:v>
                </c:pt>
                <c:pt idx="965">
                  <c:v>515.22511340180665</c:v>
                </c:pt>
                <c:pt idx="966">
                  <c:v>515.22511340180665</c:v>
                </c:pt>
                <c:pt idx="967">
                  <c:v>515.22511340180665</c:v>
                </c:pt>
                <c:pt idx="968">
                  <c:v>515.22511340180665</c:v>
                </c:pt>
                <c:pt idx="969">
                  <c:v>515.22511340180665</c:v>
                </c:pt>
                <c:pt idx="970">
                  <c:v>515.22511340180665</c:v>
                </c:pt>
                <c:pt idx="971">
                  <c:v>515.22511340180665</c:v>
                </c:pt>
                <c:pt idx="972">
                  <c:v>515.22511340180665</c:v>
                </c:pt>
                <c:pt idx="973">
                  <c:v>515.22511340180665</c:v>
                </c:pt>
                <c:pt idx="974">
                  <c:v>515.22511340180665</c:v>
                </c:pt>
                <c:pt idx="975">
                  <c:v>515.22511340180665</c:v>
                </c:pt>
                <c:pt idx="976">
                  <c:v>515.22511340180665</c:v>
                </c:pt>
                <c:pt idx="977">
                  <c:v>515.22511340180665</c:v>
                </c:pt>
                <c:pt idx="978">
                  <c:v>515.22511340180665</c:v>
                </c:pt>
                <c:pt idx="979">
                  <c:v>515.22511340180665</c:v>
                </c:pt>
                <c:pt idx="980">
                  <c:v>515.22511340180665</c:v>
                </c:pt>
                <c:pt idx="981">
                  <c:v>515.22511340180665</c:v>
                </c:pt>
                <c:pt idx="982">
                  <c:v>515.22511340180665</c:v>
                </c:pt>
                <c:pt idx="983">
                  <c:v>515.22511340180665</c:v>
                </c:pt>
                <c:pt idx="984">
                  <c:v>515.22511340180665</c:v>
                </c:pt>
                <c:pt idx="985">
                  <c:v>515.22511340180665</c:v>
                </c:pt>
                <c:pt idx="986">
                  <c:v>515.22511340180665</c:v>
                </c:pt>
                <c:pt idx="987">
                  <c:v>515.22511340180665</c:v>
                </c:pt>
                <c:pt idx="988">
                  <c:v>515.22511340180665</c:v>
                </c:pt>
                <c:pt idx="989">
                  <c:v>515.22511340180665</c:v>
                </c:pt>
                <c:pt idx="990">
                  <c:v>515.22511340180665</c:v>
                </c:pt>
                <c:pt idx="991">
                  <c:v>515.22511340180665</c:v>
                </c:pt>
                <c:pt idx="992">
                  <c:v>515.22511340180665</c:v>
                </c:pt>
                <c:pt idx="993">
                  <c:v>515.22511340180665</c:v>
                </c:pt>
                <c:pt idx="994">
                  <c:v>515.22511340180665</c:v>
                </c:pt>
                <c:pt idx="995">
                  <c:v>515.22511340180665</c:v>
                </c:pt>
                <c:pt idx="996">
                  <c:v>515.22511340180665</c:v>
                </c:pt>
                <c:pt idx="997">
                  <c:v>515.22511340180665</c:v>
                </c:pt>
                <c:pt idx="998">
                  <c:v>515.22511340180665</c:v>
                </c:pt>
                <c:pt idx="999">
                  <c:v>515.22511340180665</c:v>
                </c:pt>
                <c:pt idx="1000">
                  <c:v>515.22511340180665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0-FB44-B75E-51812F6EEC8B}"/>
            </c:ext>
          </c:extLst>
        </c:ser>
        <c:ser>
          <c:idx val="1"/>
          <c:order val="1"/>
          <c:tx>
            <c:strRef>
              <c:f>Courbes!$B$143</c:f>
              <c:strCache>
                <c:ptCount val="1"/>
                <c:pt idx="0">
                  <c:v>Altitude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Calculs!$B$4:$B$1004</c:f>
              <c:numCache>
                <c:formatCode>0.00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4.0999999999999588</c:v>
                </c:pt>
                <c:pt idx="402">
                  <c:v>4.1999999999999584</c:v>
                </c:pt>
                <c:pt idx="403">
                  <c:v>4.2999999999999581</c:v>
                </c:pt>
                <c:pt idx="404">
                  <c:v>4.3999999999999577</c:v>
                </c:pt>
                <c:pt idx="405">
                  <c:v>4.4999999999999574</c:v>
                </c:pt>
                <c:pt idx="406">
                  <c:v>4.599999999999957</c:v>
                </c:pt>
                <c:pt idx="407">
                  <c:v>4.6999999999999567</c:v>
                </c:pt>
                <c:pt idx="408">
                  <c:v>4.7999999999999563</c:v>
                </c:pt>
                <c:pt idx="409">
                  <c:v>4.8999999999999559</c:v>
                </c:pt>
                <c:pt idx="410">
                  <c:v>4.9999999999999556</c:v>
                </c:pt>
                <c:pt idx="411">
                  <c:v>5.0999999999999552</c:v>
                </c:pt>
                <c:pt idx="412">
                  <c:v>5.1999999999999549</c:v>
                </c:pt>
                <c:pt idx="413">
                  <c:v>5.2999999999999545</c:v>
                </c:pt>
                <c:pt idx="414">
                  <c:v>5.3999999999999542</c:v>
                </c:pt>
                <c:pt idx="415">
                  <c:v>5.4999999999999538</c:v>
                </c:pt>
                <c:pt idx="416">
                  <c:v>5.5999999999999535</c:v>
                </c:pt>
                <c:pt idx="417">
                  <c:v>5.6999999999999531</c:v>
                </c:pt>
                <c:pt idx="418">
                  <c:v>5.7999999999999527</c:v>
                </c:pt>
                <c:pt idx="419">
                  <c:v>5.8999999999999524</c:v>
                </c:pt>
                <c:pt idx="420">
                  <c:v>5.999999999999952</c:v>
                </c:pt>
                <c:pt idx="421">
                  <c:v>6.0999999999999517</c:v>
                </c:pt>
                <c:pt idx="422">
                  <c:v>6.1999999999999513</c:v>
                </c:pt>
                <c:pt idx="423">
                  <c:v>6.299999999999951</c:v>
                </c:pt>
                <c:pt idx="424">
                  <c:v>6.3999999999999506</c:v>
                </c:pt>
                <c:pt idx="425">
                  <c:v>6.4999999999999503</c:v>
                </c:pt>
                <c:pt idx="426">
                  <c:v>6.5999999999999499</c:v>
                </c:pt>
                <c:pt idx="427">
                  <c:v>6.6999999999999496</c:v>
                </c:pt>
                <c:pt idx="428">
                  <c:v>6.7999999999999492</c:v>
                </c:pt>
                <c:pt idx="429">
                  <c:v>6.8999999999999488</c:v>
                </c:pt>
                <c:pt idx="430">
                  <c:v>6.9999999999999485</c:v>
                </c:pt>
                <c:pt idx="431">
                  <c:v>7.0999999999999481</c:v>
                </c:pt>
                <c:pt idx="432">
                  <c:v>7.1999999999999478</c:v>
                </c:pt>
                <c:pt idx="433">
                  <c:v>7.2999999999999474</c:v>
                </c:pt>
                <c:pt idx="434">
                  <c:v>7.3999999999999471</c:v>
                </c:pt>
                <c:pt idx="435">
                  <c:v>7.4999999999999467</c:v>
                </c:pt>
                <c:pt idx="436">
                  <c:v>7.5999999999999464</c:v>
                </c:pt>
                <c:pt idx="437">
                  <c:v>7.699999999999946</c:v>
                </c:pt>
                <c:pt idx="438">
                  <c:v>7.7999999999999456</c:v>
                </c:pt>
                <c:pt idx="439">
                  <c:v>7.8999999999999453</c:v>
                </c:pt>
                <c:pt idx="440">
                  <c:v>7.9999999999999449</c:v>
                </c:pt>
                <c:pt idx="441">
                  <c:v>8.0999999999999446</c:v>
                </c:pt>
                <c:pt idx="442">
                  <c:v>8.1999999999999442</c:v>
                </c:pt>
                <c:pt idx="443">
                  <c:v>8.2999999999999439</c:v>
                </c:pt>
                <c:pt idx="444">
                  <c:v>8.3999999999999435</c:v>
                </c:pt>
                <c:pt idx="445">
                  <c:v>8.4999999999999432</c:v>
                </c:pt>
                <c:pt idx="446">
                  <c:v>8.5999999999999428</c:v>
                </c:pt>
                <c:pt idx="447">
                  <c:v>8.6999999999999424</c:v>
                </c:pt>
                <c:pt idx="448">
                  <c:v>8.7999999999999421</c:v>
                </c:pt>
                <c:pt idx="449">
                  <c:v>8.8999999999999417</c:v>
                </c:pt>
                <c:pt idx="450">
                  <c:v>8.9999999999999414</c:v>
                </c:pt>
                <c:pt idx="451">
                  <c:v>9.099999999999941</c:v>
                </c:pt>
                <c:pt idx="452">
                  <c:v>9.1999999999999407</c:v>
                </c:pt>
                <c:pt idx="453">
                  <c:v>9.2999999999999403</c:v>
                </c:pt>
                <c:pt idx="454">
                  <c:v>9.39999999999994</c:v>
                </c:pt>
                <c:pt idx="455">
                  <c:v>9.4999999999999396</c:v>
                </c:pt>
                <c:pt idx="456">
                  <c:v>9.5999999999999392</c:v>
                </c:pt>
                <c:pt idx="457">
                  <c:v>9.6999999999999389</c:v>
                </c:pt>
                <c:pt idx="458">
                  <c:v>9.7999999999999385</c:v>
                </c:pt>
                <c:pt idx="459">
                  <c:v>9.8999999999999382</c:v>
                </c:pt>
                <c:pt idx="460">
                  <c:v>9.9999999999999378</c:v>
                </c:pt>
                <c:pt idx="461">
                  <c:v>10.099999999999937</c:v>
                </c:pt>
                <c:pt idx="462">
                  <c:v>10.199999999999937</c:v>
                </c:pt>
                <c:pt idx="463">
                  <c:v>10.299999999999937</c:v>
                </c:pt>
                <c:pt idx="464">
                  <c:v>10.399999999999936</c:v>
                </c:pt>
                <c:pt idx="465">
                  <c:v>10.499999999999936</c:v>
                </c:pt>
                <c:pt idx="466">
                  <c:v>10.599999999999936</c:v>
                </c:pt>
                <c:pt idx="467">
                  <c:v>10.699999999999935</c:v>
                </c:pt>
                <c:pt idx="468">
                  <c:v>10.799999999999935</c:v>
                </c:pt>
                <c:pt idx="469">
                  <c:v>10.899999999999935</c:v>
                </c:pt>
                <c:pt idx="470">
                  <c:v>10.999999999999934</c:v>
                </c:pt>
                <c:pt idx="471">
                  <c:v>11.099999999999934</c:v>
                </c:pt>
                <c:pt idx="472">
                  <c:v>11.199999999999934</c:v>
                </c:pt>
                <c:pt idx="473">
                  <c:v>11.299999999999933</c:v>
                </c:pt>
                <c:pt idx="474">
                  <c:v>11.399999999999933</c:v>
                </c:pt>
                <c:pt idx="475">
                  <c:v>11.499999999999932</c:v>
                </c:pt>
                <c:pt idx="476">
                  <c:v>11.599999999999932</c:v>
                </c:pt>
                <c:pt idx="477">
                  <c:v>11.699999999999932</c:v>
                </c:pt>
                <c:pt idx="478">
                  <c:v>11.799999999999931</c:v>
                </c:pt>
                <c:pt idx="479">
                  <c:v>11.899999999999931</c:v>
                </c:pt>
                <c:pt idx="480">
                  <c:v>11.999999999999931</c:v>
                </c:pt>
                <c:pt idx="481">
                  <c:v>12.09999999999993</c:v>
                </c:pt>
                <c:pt idx="482">
                  <c:v>12.19999999999993</c:v>
                </c:pt>
                <c:pt idx="483">
                  <c:v>12.29999999999993</c:v>
                </c:pt>
                <c:pt idx="484">
                  <c:v>12.399999999999929</c:v>
                </c:pt>
                <c:pt idx="485">
                  <c:v>12.499999999999929</c:v>
                </c:pt>
                <c:pt idx="486">
                  <c:v>12.599999999999929</c:v>
                </c:pt>
                <c:pt idx="487">
                  <c:v>12.699999999999928</c:v>
                </c:pt>
                <c:pt idx="488">
                  <c:v>12.799999999999928</c:v>
                </c:pt>
                <c:pt idx="489">
                  <c:v>12.899999999999928</c:v>
                </c:pt>
                <c:pt idx="490">
                  <c:v>12.999999999999927</c:v>
                </c:pt>
                <c:pt idx="491">
                  <c:v>13.099999999999927</c:v>
                </c:pt>
                <c:pt idx="492">
                  <c:v>13.199999999999926</c:v>
                </c:pt>
                <c:pt idx="493">
                  <c:v>13.299999999999926</c:v>
                </c:pt>
                <c:pt idx="494">
                  <c:v>13.399999999999926</c:v>
                </c:pt>
                <c:pt idx="495">
                  <c:v>13.499999999999925</c:v>
                </c:pt>
                <c:pt idx="496">
                  <c:v>13.599999999999925</c:v>
                </c:pt>
                <c:pt idx="497">
                  <c:v>13.699999999999925</c:v>
                </c:pt>
                <c:pt idx="498">
                  <c:v>13.799999999999924</c:v>
                </c:pt>
                <c:pt idx="499">
                  <c:v>13.899999999999924</c:v>
                </c:pt>
                <c:pt idx="500">
                  <c:v>13.999999999999924</c:v>
                </c:pt>
                <c:pt idx="501">
                  <c:v>14.099999999999923</c:v>
                </c:pt>
                <c:pt idx="502">
                  <c:v>14.199999999999923</c:v>
                </c:pt>
                <c:pt idx="503">
                  <c:v>14.299999999999923</c:v>
                </c:pt>
                <c:pt idx="504">
                  <c:v>14.399999999999922</c:v>
                </c:pt>
                <c:pt idx="505">
                  <c:v>14.499999999999922</c:v>
                </c:pt>
                <c:pt idx="506">
                  <c:v>14.599999999999921</c:v>
                </c:pt>
                <c:pt idx="507">
                  <c:v>14.699999999999921</c:v>
                </c:pt>
                <c:pt idx="508">
                  <c:v>14.799999999999921</c:v>
                </c:pt>
                <c:pt idx="509">
                  <c:v>14.89999999999992</c:v>
                </c:pt>
                <c:pt idx="510">
                  <c:v>14.99999999999992</c:v>
                </c:pt>
                <c:pt idx="511">
                  <c:v>15.09999999999992</c:v>
                </c:pt>
                <c:pt idx="512">
                  <c:v>15.199999999999919</c:v>
                </c:pt>
                <c:pt idx="513">
                  <c:v>15.299999999999919</c:v>
                </c:pt>
                <c:pt idx="514">
                  <c:v>15.399999999999919</c:v>
                </c:pt>
                <c:pt idx="515">
                  <c:v>15.499999999999918</c:v>
                </c:pt>
                <c:pt idx="516">
                  <c:v>15.599999999999918</c:v>
                </c:pt>
                <c:pt idx="517">
                  <c:v>15.699999999999918</c:v>
                </c:pt>
                <c:pt idx="518">
                  <c:v>15.799999999999917</c:v>
                </c:pt>
                <c:pt idx="519">
                  <c:v>15.899999999999917</c:v>
                </c:pt>
                <c:pt idx="520">
                  <c:v>15.999999999999917</c:v>
                </c:pt>
                <c:pt idx="521">
                  <c:v>16.099999999999916</c:v>
                </c:pt>
                <c:pt idx="522">
                  <c:v>16.199999999999918</c:v>
                </c:pt>
                <c:pt idx="523">
                  <c:v>16.299999999999919</c:v>
                </c:pt>
                <c:pt idx="524">
                  <c:v>16.39999999999992</c:v>
                </c:pt>
                <c:pt idx="525">
                  <c:v>16.499999999999922</c:v>
                </c:pt>
                <c:pt idx="526">
                  <c:v>16.599999999999923</c:v>
                </c:pt>
                <c:pt idx="527">
                  <c:v>16.699999999999925</c:v>
                </c:pt>
                <c:pt idx="528">
                  <c:v>16.799999999999926</c:v>
                </c:pt>
                <c:pt idx="529">
                  <c:v>16.899999999999928</c:v>
                </c:pt>
                <c:pt idx="530">
                  <c:v>16.999999999999929</c:v>
                </c:pt>
                <c:pt idx="531">
                  <c:v>17.09999999999993</c:v>
                </c:pt>
                <c:pt idx="532">
                  <c:v>17.199999999999932</c:v>
                </c:pt>
                <c:pt idx="533">
                  <c:v>17.299999999999933</c:v>
                </c:pt>
                <c:pt idx="534">
                  <c:v>17.399999999999935</c:v>
                </c:pt>
                <c:pt idx="535">
                  <c:v>17.499999999999936</c:v>
                </c:pt>
                <c:pt idx="536">
                  <c:v>17.599999999999937</c:v>
                </c:pt>
                <c:pt idx="537">
                  <c:v>17.699999999999939</c:v>
                </c:pt>
                <c:pt idx="538">
                  <c:v>17.79999999999994</c:v>
                </c:pt>
                <c:pt idx="539">
                  <c:v>17.899999999999942</c:v>
                </c:pt>
                <c:pt idx="540">
                  <c:v>17.999999999999943</c:v>
                </c:pt>
                <c:pt idx="541">
                  <c:v>18.099999999999945</c:v>
                </c:pt>
                <c:pt idx="542">
                  <c:v>18.199999999999946</c:v>
                </c:pt>
                <c:pt idx="543">
                  <c:v>18.299999999999947</c:v>
                </c:pt>
                <c:pt idx="544">
                  <c:v>18.399999999999949</c:v>
                </c:pt>
                <c:pt idx="545">
                  <c:v>18.49999999999995</c:v>
                </c:pt>
                <c:pt idx="546">
                  <c:v>18.599999999999952</c:v>
                </c:pt>
                <c:pt idx="547">
                  <c:v>18.699999999999953</c:v>
                </c:pt>
                <c:pt idx="548">
                  <c:v>18.799999999999955</c:v>
                </c:pt>
                <c:pt idx="549">
                  <c:v>18.899999999999956</c:v>
                </c:pt>
                <c:pt idx="550">
                  <c:v>18.999999999999957</c:v>
                </c:pt>
                <c:pt idx="551">
                  <c:v>19.099999999999959</c:v>
                </c:pt>
                <c:pt idx="552">
                  <c:v>19.19999999999996</c:v>
                </c:pt>
                <c:pt idx="553">
                  <c:v>19.299999999999962</c:v>
                </c:pt>
                <c:pt idx="554">
                  <c:v>19.399999999999963</c:v>
                </c:pt>
                <c:pt idx="555">
                  <c:v>19.499999999999964</c:v>
                </c:pt>
                <c:pt idx="556">
                  <c:v>19.599999999999966</c:v>
                </c:pt>
                <c:pt idx="557">
                  <c:v>19.699999999999967</c:v>
                </c:pt>
                <c:pt idx="558">
                  <c:v>19.799999999999969</c:v>
                </c:pt>
                <c:pt idx="559">
                  <c:v>19.89999999999997</c:v>
                </c:pt>
                <c:pt idx="560">
                  <c:v>19.999999999999972</c:v>
                </c:pt>
                <c:pt idx="561">
                  <c:v>20.099999999999973</c:v>
                </c:pt>
                <c:pt idx="562">
                  <c:v>20.199999999999974</c:v>
                </c:pt>
                <c:pt idx="563">
                  <c:v>20.299999999999976</c:v>
                </c:pt>
                <c:pt idx="564">
                  <c:v>20.399999999999977</c:v>
                </c:pt>
                <c:pt idx="565">
                  <c:v>20.499999999999979</c:v>
                </c:pt>
                <c:pt idx="566">
                  <c:v>20.59999999999998</c:v>
                </c:pt>
                <c:pt idx="567">
                  <c:v>20.699999999999982</c:v>
                </c:pt>
                <c:pt idx="568">
                  <c:v>20.799999999999983</c:v>
                </c:pt>
                <c:pt idx="569">
                  <c:v>20.899999999999984</c:v>
                </c:pt>
                <c:pt idx="570">
                  <c:v>20.999999999999986</c:v>
                </c:pt>
                <c:pt idx="571">
                  <c:v>21.099999999999987</c:v>
                </c:pt>
                <c:pt idx="572">
                  <c:v>21.199999999999989</c:v>
                </c:pt>
                <c:pt idx="573">
                  <c:v>21.29999999999999</c:v>
                </c:pt>
                <c:pt idx="574">
                  <c:v>21.399999999999991</c:v>
                </c:pt>
                <c:pt idx="575">
                  <c:v>21.499999999999993</c:v>
                </c:pt>
                <c:pt idx="576">
                  <c:v>21.599999999999994</c:v>
                </c:pt>
                <c:pt idx="577">
                  <c:v>21.699999999999996</c:v>
                </c:pt>
                <c:pt idx="578">
                  <c:v>21.799999999999997</c:v>
                </c:pt>
                <c:pt idx="579">
                  <c:v>21.9</c:v>
                </c:pt>
                <c:pt idx="580">
                  <c:v>22</c:v>
                </c:pt>
                <c:pt idx="581">
                  <c:v>22.1</c:v>
                </c:pt>
                <c:pt idx="582">
                  <c:v>22.200000000000003</c:v>
                </c:pt>
                <c:pt idx="583">
                  <c:v>22.300000000000004</c:v>
                </c:pt>
                <c:pt idx="584">
                  <c:v>22.400000000000006</c:v>
                </c:pt>
                <c:pt idx="585">
                  <c:v>22.500000000000007</c:v>
                </c:pt>
                <c:pt idx="586">
                  <c:v>22.600000000000009</c:v>
                </c:pt>
                <c:pt idx="587">
                  <c:v>22.70000000000001</c:v>
                </c:pt>
                <c:pt idx="588">
                  <c:v>22.800000000000011</c:v>
                </c:pt>
                <c:pt idx="589">
                  <c:v>22.900000000000013</c:v>
                </c:pt>
                <c:pt idx="590">
                  <c:v>23.000000000000014</c:v>
                </c:pt>
                <c:pt idx="591">
                  <c:v>23.100000000000016</c:v>
                </c:pt>
                <c:pt idx="592">
                  <c:v>23.200000000000017</c:v>
                </c:pt>
                <c:pt idx="593">
                  <c:v>23.300000000000018</c:v>
                </c:pt>
                <c:pt idx="594">
                  <c:v>23.40000000000002</c:v>
                </c:pt>
                <c:pt idx="595">
                  <c:v>23.500000000000021</c:v>
                </c:pt>
                <c:pt idx="596">
                  <c:v>23.600000000000023</c:v>
                </c:pt>
                <c:pt idx="597">
                  <c:v>23.700000000000024</c:v>
                </c:pt>
                <c:pt idx="598">
                  <c:v>23.800000000000026</c:v>
                </c:pt>
                <c:pt idx="599">
                  <c:v>23.900000000000027</c:v>
                </c:pt>
                <c:pt idx="600">
                  <c:v>24.000000000000028</c:v>
                </c:pt>
                <c:pt idx="601">
                  <c:v>24.10000000000003</c:v>
                </c:pt>
                <c:pt idx="602">
                  <c:v>24.200000000000031</c:v>
                </c:pt>
                <c:pt idx="603">
                  <c:v>24.300000000000033</c:v>
                </c:pt>
                <c:pt idx="604">
                  <c:v>24.400000000000034</c:v>
                </c:pt>
                <c:pt idx="605">
                  <c:v>24.500000000000036</c:v>
                </c:pt>
                <c:pt idx="606">
                  <c:v>24.600000000000037</c:v>
                </c:pt>
                <c:pt idx="607">
                  <c:v>24.700000000000038</c:v>
                </c:pt>
                <c:pt idx="608">
                  <c:v>24.80000000000004</c:v>
                </c:pt>
                <c:pt idx="609">
                  <c:v>24.900000000000041</c:v>
                </c:pt>
                <c:pt idx="610">
                  <c:v>25.000000000000043</c:v>
                </c:pt>
                <c:pt idx="611">
                  <c:v>25.100000000000044</c:v>
                </c:pt>
                <c:pt idx="612">
                  <c:v>25.200000000000045</c:v>
                </c:pt>
                <c:pt idx="613">
                  <c:v>25.300000000000047</c:v>
                </c:pt>
                <c:pt idx="614">
                  <c:v>25.400000000000048</c:v>
                </c:pt>
                <c:pt idx="615">
                  <c:v>25.50000000000005</c:v>
                </c:pt>
                <c:pt idx="616">
                  <c:v>25.600000000000051</c:v>
                </c:pt>
                <c:pt idx="617">
                  <c:v>25.700000000000053</c:v>
                </c:pt>
                <c:pt idx="618">
                  <c:v>25.800000000000054</c:v>
                </c:pt>
                <c:pt idx="619">
                  <c:v>25.900000000000055</c:v>
                </c:pt>
                <c:pt idx="620">
                  <c:v>26.000000000000057</c:v>
                </c:pt>
                <c:pt idx="621">
                  <c:v>26.100000000000058</c:v>
                </c:pt>
                <c:pt idx="622">
                  <c:v>26.20000000000006</c:v>
                </c:pt>
                <c:pt idx="623">
                  <c:v>26.300000000000061</c:v>
                </c:pt>
                <c:pt idx="624">
                  <c:v>26.400000000000063</c:v>
                </c:pt>
                <c:pt idx="625">
                  <c:v>26.500000000000064</c:v>
                </c:pt>
                <c:pt idx="626">
                  <c:v>26.600000000000065</c:v>
                </c:pt>
                <c:pt idx="627">
                  <c:v>26.700000000000067</c:v>
                </c:pt>
                <c:pt idx="628">
                  <c:v>26.800000000000068</c:v>
                </c:pt>
                <c:pt idx="629">
                  <c:v>26.90000000000007</c:v>
                </c:pt>
                <c:pt idx="630">
                  <c:v>27.000000000000071</c:v>
                </c:pt>
                <c:pt idx="631">
                  <c:v>27.100000000000072</c:v>
                </c:pt>
                <c:pt idx="632">
                  <c:v>27.200000000000074</c:v>
                </c:pt>
                <c:pt idx="633">
                  <c:v>27.300000000000075</c:v>
                </c:pt>
                <c:pt idx="634">
                  <c:v>27.400000000000077</c:v>
                </c:pt>
                <c:pt idx="635">
                  <c:v>27.500000000000078</c:v>
                </c:pt>
                <c:pt idx="636">
                  <c:v>27.60000000000008</c:v>
                </c:pt>
                <c:pt idx="637">
                  <c:v>27.700000000000081</c:v>
                </c:pt>
                <c:pt idx="638">
                  <c:v>27.800000000000082</c:v>
                </c:pt>
                <c:pt idx="639">
                  <c:v>27.900000000000084</c:v>
                </c:pt>
                <c:pt idx="640">
                  <c:v>28.000000000000085</c:v>
                </c:pt>
                <c:pt idx="641">
                  <c:v>28.100000000000087</c:v>
                </c:pt>
                <c:pt idx="642">
                  <c:v>28.200000000000088</c:v>
                </c:pt>
                <c:pt idx="643">
                  <c:v>28.30000000000009</c:v>
                </c:pt>
                <c:pt idx="644">
                  <c:v>28.400000000000091</c:v>
                </c:pt>
                <c:pt idx="645">
                  <c:v>28.500000000000092</c:v>
                </c:pt>
                <c:pt idx="646">
                  <c:v>28.600000000000094</c:v>
                </c:pt>
                <c:pt idx="647">
                  <c:v>28.700000000000095</c:v>
                </c:pt>
                <c:pt idx="648">
                  <c:v>28.800000000000097</c:v>
                </c:pt>
                <c:pt idx="649">
                  <c:v>28.900000000000098</c:v>
                </c:pt>
                <c:pt idx="650">
                  <c:v>29.000000000000099</c:v>
                </c:pt>
                <c:pt idx="651">
                  <c:v>29.100000000000101</c:v>
                </c:pt>
                <c:pt idx="652">
                  <c:v>29.200000000000102</c:v>
                </c:pt>
                <c:pt idx="653">
                  <c:v>29.300000000000104</c:v>
                </c:pt>
                <c:pt idx="654">
                  <c:v>29.400000000000105</c:v>
                </c:pt>
                <c:pt idx="655">
                  <c:v>29.500000000000107</c:v>
                </c:pt>
                <c:pt idx="656">
                  <c:v>29.600000000000108</c:v>
                </c:pt>
                <c:pt idx="657">
                  <c:v>29.700000000000109</c:v>
                </c:pt>
                <c:pt idx="658">
                  <c:v>29.800000000000111</c:v>
                </c:pt>
                <c:pt idx="659">
                  <c:v>29.900000000000112</c:v>
                </c:pt>
                <c:pt idx="660">
                  <c:v>30.000000000000114</c:v>
                </c:pt>
                <c:pt idx="661">
                  <c:v>30.100000000000115</c:v>
                </c:pt>
                <c:pt idx="662">
                  <c:v>30.200000000000117</c:v>
                </c:pt>
                <c:pt idx="663">
                  <c:v>30.300000000000118</c:v>
                </c:pt>
                <c:pt idx="664">
                  <c:v>30.400000000000119</c:v>
                </c:pt>
                <c:pt idx="665">
                  <c:v>30.500000000000121</c:v>
                </c:pt>
                <c:pt idx="666">
                  <c:v>30.600000000000122</c:v>
                </c:pt>
                <c:pt idx="667">
                  <c:v>30.700000000000124</c:v>
                </c:pt>
                <c:pt idx="668">
                  <c:v>30.800000000000125</c:v>
                </c:pt>
                <c:pt idx="669">
                  <c:v>30.900000000000126</c:v>
                </c:pt>
                <c:pt idx="670">
                  <c:v>31.000000000000128</c:v>
                </c:pt>
                <c:pt idx="671">
                  <c:v>31.100000000000129</c:v>
                </c:pt>
                <c:pt idx="672">
                  <c:v>31.200000000000131</c:v>
                </c:pt>
                <c:pt idx="673">
                  <c:v>31.300000000000132</c:v>
                </c:pt>
                <c:pt idx="674">
                  <c:v>31.400000000000134</c:v>
                </c:pt>
                <c:pt idx="675">
                  <c:v>31.500000000000135</c:v>
                </c:pt>
                <c:pt idx="676">
                  <c:v>31.600000000000136</c:v>
                </c:pt>
                <c:pt idx="677">
                  <c:v>31.700000000000138</c:v>
                </c:pt>
                <c:pt idx="678">
                  <c:v>31.800000000000139</c:v>
                </c:pt>
                <c:pt idx="679">
                  <c:v>31.900000000000141</c:v>
                </c:pt>
                <c:pt idx="680">
                  <c:v>32.000000000000142</c:v>
                </c:pt>
                <c:pt idx="681">
                  <c:v>32.100000000000144</c:v>
                </c:pt>
                <c:pt idx="682">
                  <c:v>32.200000000000145</c:v>
                </c:pt>
                <c:pt idx="683">
                  <c:v>32.300000000000146</c:v>
                </c:pt>
                <c:pt idx="684">
                  <c:v>32.400000000000148</c:v>
                </c:pt>
                <c:pt idx="685">
                  <c:v>32.500000000000149</c:v>
                </c:pt>
                <c:pt idx="686">
                  <c:v>32.600000000000151</c:v>
                </c:pt>
                <c:pt idx="687">
                  <c:v>32.700000000000152</c:v>
                </c:pt>
                <c:pt idx="688">
                  <c:v>32.800000000000153</c:v>
                </c:pt>
                <c:pt idx="689">
                  <c:v>32.900000000000155</c:v>
                </c:pt>
                <c:pt idx="690">
                  <c:v>33.000000000000156</c:v>
                </c:pt>
                <c:pt idx="691">
                  <c:v>33.100000000000158</c:v>
                </c:pt>
                <c:pt idx="692">
                  <c:v>33.200000000000159</c:v>
                </c:pt>
                <c:pt idx="693">
                  <c:v>33.300000000000161</c:v>
                </c:pt>
                <c:pt idx="694">
                  <c:v>33.400000000000162</c:v>
                </c:pt>
                <c:pt idx="695">
                  <c:v>33.500000000000163</c:v>
                </c:pt>
                <c:pt idx="696">
                  <c:v>33.600000000000165</c:v>
                </c:pt>
                <c:pt idx="697">
                  <c:v>33.700000000000166</c:v>
                </c:pt>
                <c:pt idx="698">
                  <c:v>33.800000000000168</c:v>
                </c:pt>
                <c:pt idx="699">
                  <c:v>33.900000000000169</c:v>
                </c:pt>
                <c:pt idx="700">
                  <c:v>34.000000000000171</c:v>
                </c:pt>
                <c:pt idx="701">
                  <c:v>34.100000000000172</c:v>
                </c:pt>
                <c:pt idx="702">
                  <c:v>34.200000000000173</c:v>
                </c:pt>
                <c:pt idx="703">
                  <c:v>34.300000000000175</c:v>
                </c:pt>
                <c:pt idx="704">
                  <c:v>34.400000000000176</c:v>
                </c:pt>
                <c:pt idx="705">
                  <c:v>34.500000000000178</c:v>
                </c:pt>
                <c:pt idx="706">
                  <c:v>34.600000000000179</c:v>
                </c:pt>
                <c:pt idx="707">
                  <c:v>34.70000000000018</c:v>
                </c:pt>
                <c:pt idx="708">
                  <c:v>34.800000000000182</c:v>
                </c:pt>
                <c:pt idx="709">
                  <c:v>34.900000000000183</c:v>
                </c:pt>
                <c:pt idx="710">
                  <c:v>35.000000000000185</c:v>
                </c:pt>
                <c:pt idx="711">
                  <c:v>35.100000000000186</c:v>
                </c:pt>
                <c:pt idx="712">
                  <c:v>35.200000000000188</c:v>
                </c:pt>
                <c:pt idx="713">
                  <c:v>35.300000000000189</c:v>
                </c:pt>
                <c:pt idx="714">
                  <c:v>35.40000000000019</c:v>
                </c:pt>
                <c:pt idx="715">
                  <c:v>35.500000000000192</c:v>
                </c:pt>
                <c:pt idx="716">
                  <c:v>35.600000000000193</c:v>
                </c:pt>
                <c:pt idx="717">
                  <c:v>35.700000000000195</c:v>
                </c:pt>
                <c:pt idx="718">
                  <c:v>35.800000000000196</c:v>
                </c:pt>
                <c:pt idx="719">
                  <c:v>35.900000000000198</c:v>
                </c:pt>
                <c:pt idx="720">
                  <c:v>36.000000000000199</c:v>
                </c:pt>
                <c:pt idx="721">
                  <c:v>36.1000000000002</c:v>
                </c:pt>
                <c:pt idx="722">
                  <c:v>36.200000000000202</c:v>
                </c:pt>
                <c:pt idx="723">
                  <c:v>36.300000000000203</c:v>
                </c:pt>
                <c:pt idx="724">
                  <c:v>36.400000000000205</c:v>
                </c:pt>
                <c:pt idx="725">
                  <c:v>36.500000000000206</c:v>
                </c:pt>
                <c:pt idx="726">
                  <c:v>36.600000000000207</c:v>
                </c:pt>
                <c:pt idx="727">
                  <c:v>36.700000000000209</c:v>
                </c:pt>
                <c:pt idx="728">
                  <c:v>36.80000000000021</c:v>
                </c:pt>
                <c:pt idx="729">
                  <c:v>36.900000000000212</c:v>
                </c:pt>
                <c:pt idx="730">
                  <c:v>37.000000000000213</c:v>
                </c:pt>
                <c:pt idx="731">
                  <c:v>37.100000000000215</c:v>
                </c:pt>
                <c:pt idx="732">
                  <c:v>37.200000000000216</c:v>
                </c:pt>
                <c:pt idx="733">
                  <c:v>37.300000000000217</c:v>
                </c:pt>
                <c:pt idx="734">
                  <c:v>37.400000000000219</c:v>
                </c:pt>
                <c:pt idx="735">
                  <c:v>37.50000000000022</c:v>
                </c:pt>
                <c:pt idx="736">
                  <c:v>37.600000000000222</c:v>
                </c:pt>
                <c:pt idx="737">
                  <c:v>37.700000000000223</c:v>
                </c:pt>
                <c:pt idx="738">
                  <c:v>37.700100000000226</c:v>
                </c:pt>
                <c:pt idx="739">
                  <c:v>37.70020000000023</c:v>
                </c:pt>
                <c:pt idx="740">
                  <c:v>37.700300000000233</c:v>
                </c:pt>
                <c:pt idx="741">
                  <c:v>37.700400000000236</c:v>
                </c:pt>
                <c:pt idx="742">
                  <c:v>37.70050000000024</c:v>
                </c:pt>
                <c:pt idx="743">
                  <c:v>37.700600000000243</c:v>
                </c:pt>
                <c:pt idx="744">
                  <c:v>37.700700000000246</c:v>
                </c:pt>
                <c:pt idx="745">
                  <c:v>37.70080000000025</c:v>
                </c:pt>
                <c:pt idx="746">
                  <c:v>37.700900000000253</c:v>
                </c:pt>
                <c:pt idx="747">
                  <c:v>37.701000000000256</c:v>
                </c:pt>
                <c:pt idx="748">
                  <c:v>37.70110000000026</c:v>
                </c:pt>
                <c:pt idx="749">
                  <c:v>37.701200000000263</c:v>
                </c:pt>
                <c:pt idx="750">
                  <c:v>37.701300000000266</c:v>
                </c:pt>
                <c:pt idx="751">
                  <c:v>37.70140000000027</c:v>
                </c:pt>
                <c:pt idx="752">
                  <c:v>37.701500000000273</c:v>
                </c:pt>
                <c:pt idx="753">
                  <c:v>37.701600000000276</c:v>
                </c:pt>
                <c:pt idx="754">
                  <c:v>37.70170000000028</c:v>
                </c:pt>
                <c:pt idx="755">
                  <c:v>37.701800000000283</c:v>
                </c:pt>
                <c:pt idx="756">
                  <c:v>37.701900000000286</c:v>
                </c:pt>
                <c:pt idx="757">
                  <c:v>37.70200000000029</c:v>
                </c:pt>
                <c:pt idx="758">
                  <c:v>37.702100000000293</c:v>
                </c:pt>
                <c:pt idx="759">
                  <c:v>37.702200000000296</c:v>
                </c:pt>
                <c:pt idx="760">
                  <c:v>37.702300000000299</c:v>
                </c:pt>
                <c:pt idx="761">
                  <c:v>37.702400000000303</c:v>
                </c:pt>
                <c:pt idx="762">
                  <c:v>37.702500000000306</c:v>
                </c:pt>
                <c:pt idx="763">
                  <c:v>37.702600000000309</c:v>
                </c:pt>
                <c:pt idx="764">
                  <c:v>37.702700000000313</c:v>
                </c:pt>
                <c:pt idx="765">
                  <c:v>37.702800000000316</c:v>
                </c:pt>
                <c:pt idx="766">
                  <c:v>37.702900000000319</c:v>
                </c:pt>
                <c:pt idx="767">
                  <c:v>37.703000000000323</c:v>
                </c:pt>
                <c:pt idx="768">
                  <c:v>37.703100000000326</c:v>
                </c:pt>
                <c:pt idx="769">
                  <c:v>37.703200000000329</c:v>
                </c:pt>
                <c:pt idx="770">
                  <c:v>37.703300000000333</c:v>
                </c:pt>
                <c:pt idx="771">
                  <c:v>37.703400000000336</c:v>
                </c:pt>
                <c:pt idx="772">
                  <c:v>37.703500000000339</c:v>
                </c:pt>
                <c:pt idx="773">
                  <c:v>37.703600000000343</c:v>
                </c:pt>
                <c:pt idx="774">
                  <c:v>37.703700000000346</c:v>
                </c:pt>
                <c:pt idx="775">
                  <c:v>37.703800000000349</c:v>
                </c:pt>
                <c:pt idx="776">
                  <c:v>37.703900000000353</c:v>
                </c:pt>
                <c:pt idx="777">
                  <c:v>37.704000000000356</c:v>
                </c:pt>
                <c:pt idx="778">
                  <c:v>37.704100000000359</c:v>
                </c:pt>
                <c:pt idx="779">
                  <c:v>37.704200000000363</c:v>
                </c:pt>
                <c:pt idx="780">
                  <c:v>37.704300000000366</c:v>
                </c:pt>
                <c:pt idx="781">
                  <c:v>37.704400000000369</c:v>
                </c:pt>
                <c:pt idx="782">
                  <c:v>37.704500000000372</c:v>
                </c:pt>
                <c:pt idx="783">
                  <c:v>37.704600000000376</c:v>
                </c:pt>
                <c:pt idx="784">
                  <c:v>37.704700000000379</c:v>
                </c:pt>
                <c:pt idx="785">
                  <c:v>37.704800000000382</c:v>
                </c:pt>
                <c:pt idx="786">
                  <c:v>37.704900000000386</c:v>
                </c:pt>
                <c:pt idx="787">
                  <c:v>37.705000000000389</c:v>
                </c:pt>
                <c:pt idx="788">
                  <c:v>37.705100000000392</c:v>
                </c:pt>
                <c:pt idx="789">
                  <c:v>37.705200000000396</c:v>
                </c:pt>
                <c:pt idx="790">
                  <c:v>37.705300000000399</c:v>
                </c:pt>
                <c:pt idx="791">
                  <c:v>37.705400000000402</c:v>
                </c:pt>
                <c:pt idx="792">
                  <c:v>37.705500000000406</c:v>
                </c:pt>
                <c:pt idx="793">
                  <c:v>37.705600000000409</c:v>
                </c:pt>
                <c:pt idx="794">
                  <c:v>37.705700000000412</c:v>
                </c:pt>
                <c:pt idx="795">
                  <c:v>37.705800000000416</c:v>
                </c:pt>
                <c:pt idx="796">
                  <c:v>37.705900000000419</c:v>
                </c:pt>
                <c:pt idx="797">
                  <c:v>37.706000000000422</c:v>
                </c:pt>
                <c:pt idx="798">
                  <c:v>37.706100000000426</c:v>
                </c:pt>
                <c:pt idx="799">
                  <c:v>37.706200000000429</c:v>
                </c:pt>
                <c:pt idx="800">
                  <c:v>37.706300000000432</c:v>
                </c:pt>
                <c:pt idx="801">
                  <c:v>37.706400000000436</c:v>
                </c:pt>
                <c:pt idx="802">
                  <c:v>37.706500000000439</c:v>
                </c:pt>
                <c:pt idx="803">
                  <c:v>37.706600000000442</c:v>
                </c:pt>
                <c:pt idx="804">
                  <c:v>37.706700000000446</c:v>
                </c:pt>
                <c:pt idx="805">
                  <c:v>37.706800000000449</c:v>
                </c:pt>
                <c:pt idx="806">
                  <c:v>37.706900000000452</c:v>
                </c:pt>
                <c:pt idx="807">
                  <c:v>37.707000000000455</c:v>
                </c:pt>
                <c:pt idx="808">
                  <c:v>37.707100000000459</c:v>
                </c:pt>
                <c:pt idx="809">
                  <c:v>37.707200000000462</c:v>
                </c:pt>
                <c:pt idx="810">
                  <c:v>37.707300000000465</c:v>
                </c:pt>
                <c:pt idx="811">
                  <c:v>37.707400000000469</c:v>
                </c:pt>
                <c:pt idx="812">
                  <c:v>37.707500000000472</c:v>
                </c:pt>
                <c:pt idx="813">
                  <c:v>37.707600000000475</c:v>
                </c:pt>
                <c:pt idx="814">
                  <c:v>37.707700000000479</c:v>
                </c:pt>
                <c:pt idx="815">
                  <c:v>37.707800000000482</c:v>
                </c:pt>
                <c:pt idx="816">
                  <c:v>37.707900000000485</c:v>
                </c:pt>
                <c:pt idx="817">
                  <c:v>37.708000000000489</c:v>
                </c:pt>
                <c:pt idx="818">
                  <c:v>37.708100000000492</c:v>
                </c:pt>
                <c:pt idx="819">
                  <c:v>37.708200000000495</c:v>
                </c:pt>
                <c:pt idx="820">
                  <c:v>37.708300000000499</c:v>
                </c:pt>
                <c:pt idx="821">
                  <c:v>37.708400000000502</c:v>
                </c:pt>
                <c:pt idx="822">
                  <c:v>37.708500000000505</c:v>
                </c:pt>
                <c:pt idx="823">
                  <c:v>37.708600000000509</c:v>
                </c:pt>
                <c:pt idx="824">
                  <c:v>37.708700000000512</c:v>
                </c:pt>
                <c:pt idx="825">
                  <c:v>37.708800000000515</c:v>
                </c:pt>
                <c:pt idx="826">
                  <c:v>37.708900000000519</c:v>
                </c:pt>
                <c:pt idx="827">
                  <c:v>37.709000000000522</c:v>
                </c:pt>
                <c:pt idx="828">
                  <c:v>37.709100000000525</c:v>
                </c:pt>
                <c:pt idx="829">
                  <c:v>37.709200000000529</c:v>
                </c:pt>
                <c:pt idx="830">
                  <c:v>37.709300000000532</c:v>
                </c:pt>
                <c:pt idx="831">
                  <c:v>37.709400000000535</c:v>
                </c:pt>
                <c:pt idx="832">
                  <c:v>37.709500000000538</c:v>
                </c:pt>
                <c:pt idx="833">
                  <c:v>37.709600000000542</c:v>
                </c:pt>
                <c:pt idx="834">
                  <c:v>37.709700000000545</c:v>
                </c:pt>
                <c:pt idx="835">
                  <c:v>37.709800000000548</c:v>
                </c:pt>
                <c:pt idx="836">
                  <c:v>37.709900000000552</c:v>
                </c:pt>
                <c:pt idx="837">
                  <c:v>37.710000000000555</c:v>
                </c:pt>
                <c:pt idx="838">
                  <c:v>37.710100000000558</c:v>
                </c:pt>
                <c:pt idx="839">
                  <c:v>37.710200000000562</c:v>
                </c:pt>
                <c:pt idx="840">
                  <c:v>37.710300000000565</c:v>
                </c:pt>
                <c:pt idx="841">
                  <c:v>37.710400000000568</c:v>
                </c:pt>
                <c:pt idx="842">
                  <c:v>37.710500000000572</c:v>
                </c:pt>
                <c:pt idx="843">
                  <c:v>37.710600000000575</c:v>
                </c:pt>
                <c:pt idx="844">
                  <c:v>37.710700000000578</c:v>
                </c:pt>
                <c:pt idx="845">
                  <c:v>37.710800000000582</c:v>
                </c:pt>
                <c:pt idx="846">
                  <c:v>37.710900000000585</c:v>
                </c:pt>
                <c:pt idx="847">
                  <c:v>37.711000000000588</c:v>
                </c:pt>
                <c:pt idx="848">
                  <c:v>37.711100000000592</c:v>
                </c:pt>
                <c:pt idx="849">
                  <c:v>37.711200000000595</c:v>
                </c:pt>
                <c:pt idx="850">
                  <c:v>37.711300000000598</c:v>
                </c:pt>
                <c:pt idx="851">
                  <c:v>37.711400000000602</c:v>
                </c:pt>
                <c:pt idx="852">
                  <c:v>37.711500000000605</c:v>
                </c:pt>
                <c:pt idx="853">
                  <c:v>37.711600000000608</c:v>
                </c:pt>
                <c:pt idx="854">
                  <c:v>37.711700000000612</c:v>
                </c:pt>
                <c:pt idx="855">
                  <c:v>37.711800000000615</c:v>
                </c:pt>
                <c:pt idx="856">
                  <c:v>37.711900000000618</c:v>
                </c:pt>
                <c:pt idx="857">
                  <c:v>37.712000000000621</c:v>
                </c:pt>
                <c:pt idx="858">
                  <c:v>37.712100000000625</c:v>
                </c:pt>
                <c:pt idx="859">
                  <c:v>37.712200000000628</c:v>
                </c:pt>
                <c:pt idx="860">
                  <c:v>37.712300000000631</c:v>
                </c:pt>
                <c:pt idx="861">
                  <c:v>37.712400000000635</c:v>
                </c:pt>
                <c:pt idx="862">
                  <c:v>37.712500000000638</c:v>
                </c:pt>
                <c:pt idx="863">
                  <c:v>37.712600000000641</c:v>
                </c:pt>
                <c:pt idx="864">
                  <c:v>37.712700000000645</c:v>
                </c:pt>
                <c:pt idx="865">
                  <c:v>37.712800000000648</c:v>
                </c:pt>
                <c:pt idx="866">
                  <c:v>37.712900000000651</c:v>
                </c:pt>
                <c:pt idx="867">
                  <c:v>37.713000000000655</c:v>
                </c:pt>
                <c:pt idx="868">
                  <c:v>37.713100000000658</c:v>
                </c:pt>
                <c:pt idx="869">
                  <c:v>37.713200000000661</c:v>
                </c:pt>
                <c:pt idx="870">
                  <c:v>37.713300000000665</c:v>
                </c:pt>
                <c:pt idx="871">
                  <c:v>37.713400000000668</c:v>
                </c:pt>
                <c:pt idx="872">
                  <c:v>37.713500000000671</c:v>
                </c:pt>
                <c:pt idx="873">
                  <c:v>37.713600000000675</c:v>
                </c:pt>
                <c:pt idx="874">
                  <c:v>37.713700000000678</c:v>
                </c:pt>
                <c:pt idx="875">
                  <c:v>37.713800000000681</c:v>
                </c:pt>
                <c:pt idx="876">
                  <c:v>37.713900000000685</c:v>
                </c:pt>
                <c:pt idx="877">
                  <c:v>37.714000000000688</c:v>
                </c:pt>
                <c:pt idx="878">
                  <c:v>37.714100000000691</c:v>
                </c:pt>
                <c:pt idx="879">
                  <c:v>37.714200000000695</c:v>
                </c:pt>
                <c:pt idx="880">
                  <c:v>37.714300000000698</c:v>
                </c:pt>
                <c:pt idx="881">
                  <c:v>37.714400000000701</c:v>
                </c:pt>
                <c:pt idx="882">
                  <c:v>37.714500000000704</c:v>
                </c:pt>
                <c:pt idx="883">
                  <c:v>37.714600000000708</c:v>
                </c:pt>
                <c:pt idx="884">
                  <c:v>37.714700000000711</c:v>
                </c:pt>
                <c:pt idx="885">
                  <c:v>37.714800000000714</c:v>
                </c:pt>
                <c:pt idx="886">
                  <c:v>37.714900000000718</c:v>
                </c:pt>
                <c:pt idx="887">
                  <c:v>37.715000000000721</c:v>
                </c:pt>
                <c:pt idx="888">
                  <c:v>37.715100000000724</c:v>
                </c:pt>
                <c:pt idx="889">
                  <c:v>37.715200000000728</c:v>
                </c:pt>
                <c:pt idx="890">
                  <c:v>37.715300000000731</c:v>
                </c:pt>
                <c:pt idx="891">
                  <c:v>37.715400000000734</c:v>
                </c:pt>
                <c:pt idx="892">
                  <c:v>37.715500000000738</c:v>
                </c:pt>
                <c:pt idx="893">
                  <c:v>37.715600000000741</c:v>
                </c:pt>
                <c:pt idx="894">
                  <c:v>37.715700000000744</c:v>
                </c:pt>
                <c:pt idx="895">
                  <c:v>37.715800000000748</c:v>
                </c:pt>
                <c:pt idx="896">
                  <c:v>37.715900000000751</c:v>
                </c:pt>
                <c:pt idx="897">
                  <c:v>37.716000000000754</c:v>
                </c:pt>
                <c:pt idx="898">
                  <c:v>37.716100000000758</c:v>
                </c:pt>
                <c:pt idx="899">
                  <c:v>37.716200000000761</c:v>
                </c:pt>
                <c:pt idx="900">
                  <c:v>37.716300000000764</c:v>
                </c:pt>
                <c:pt idx="901">
                  <c:v>37.716400000000768</c:v>
                </c:pt>
                <c:pt idx="902">
                  <c:v>37.716500000000771</c:v>
                </c:pt>
                <c:pt idx="903">
                  <c:v>37.716600000000774</c:v>
                </c:pt>
                <c:pt idx="904">
                  <c:v>37.716700000000777</c:v>
                </c:pt>
                <c:pt idx="905">
                  <c:v>37.716800000000781</c:v>
                </c:pt>
                <c:pt idx="906">
                  <c:v>37.716900000000784</c:v>
                </c:pt>
                <c:pt idx="907">
                  <c:v>37.717000000000787</c:v>
                </c:pt>
                <c:pt idx="908">
                  <c:v>37.717100000000791</c:v>
                </c:pt>
                <c:pt idx="909">
                  <c:v>37.717200000000794</c:v>
                </c:pt>
                <c:pt idx="910">
                  <c:v>37.717300000000797</c:v>
                </c:pt>
                <c:pt idx="911">
                  <c:v>37.717400000000801</c:v>
                </c:pt>
                <c:pt idx="912">
                  <c:v>37.717500000000804</c:v>
                </c:pt>
                <c:pt idx="913">
                  <c:v>37.717600000000807</c:v>
                </c:pt>
                <c:pt idx="914">
                  <c:v>37.717700000000811</c:v>
                </c:pt>
                <c:pt idx="915">
                  <c:v>37.717800000000814</c:v>
                </c:pt>
                <c:pt idx="916">
                  <c:v>37.717900000000817</c:v>
                </c:pt>
                <c:pt idx="917">
                  <c:v>37.718000000000821</c:v>
                </c:pt>
                <c:pt idx="918">
                  <c:v>37.718100000000824</c:v>
                </c:pt>
                <c:pt idx="919">
                  <c:v>37.718200000000827</c:v>
                </c:pt>
                <c:pt idx="920">
                  <c:v>37.718300000000831</c:v>
                </c:pt>
                <c:pt idx="921">
                  <c:v>37.718400000000834</c:v>
                </c:pt>
                <c:pt idx="922">
                  <c:v>37.718500000000837</c:v>
                </c:pt>
                <c:pt idx="923">
                  <c:v>37.718600000000841</c:v>
                </c:pt>
                <c:pt idx="924">
                  <c:v>37.718700000000844</c:v>
                </c:pt>
                <c:pt idx="925">
                  <c:v>37.718800000000847</c:v>
                </c:pt>
                <c:pt idx="926">
                  <c:v>37.718900000000851</c:v>
                </c:pt>
                <c:pt idx="927">
                  <c:v>37.719000000000854</c:v>
                </c:pt>
                <c:pt idx="928">
                  <c:v>37.719100000000857</c:v>
                </c:pt>
                <c:pt idx="929">
                  <c:v>37.71920000000086</c:v>
                </c:pt>
                <c:pt idx="930">
                  <c:v>37.719300000000864</c:v>
                </c:pt>
                <c:pt idx="931">
                  <c:v>37.719400000000867</c:v>
                </c:pt>
                <c:pt idx="932">
                  <c:v>37.71950000000087</c:v>
                </c:pt>
                <c:pt idx="933">
                  <c:v>37.719600000000874</c:v>
                </c:pt>
                <c:pt idx="934">
                  <c:v>37.719700000000877</c:v>
                </c:pt>
                <c:pt idx="935">
                  <c:v>37.71980000000088</c:v>
                </c:pt>
                <c:pt idx="936">
                  <c:v>37.719900000000884</c:v>
                </c:pt>
                <c:pt idx="937">
                  <c:v>37.720000000000887</c:v>
                </c:pt>
                <c:pt idx="938">
                  <c:v>37.72010000000089</c:v>
                </c:pt>
                <c:pt idx="939">
                  <c:v>37.720200000000894</c:v>
                </c:pt>
                <c:pt idx="940">
                  <c:v>37.720300000000897</c:v>
                </c:pt>
                <c:pt idx="941">
                  <c:v>37.7204000000009</c:v>
                </c:pt>
                <c:pt idx="942">
                  <c:v>37.720500000000904</c:v>
                </c:pt>
                <c:pt idx="943">
                  <c:v>37.720600000000907</c:v>
                </c:pt>
                <c:pt idx="944">
                  <c:v>37.72070000000091</c:v>
                </c:pt>
                <c:pt idx="945">
                  <c:v>37.720800000000914</c:v>
                </c:pt>
                <c:pt idx="946">
                  <c:v>37.720900000000917</c:v>
                </c:pt>
                <c:pt idx="947">
                  <c:v>37.72100000000092</c:v>
                </c:pt>
                <c:pt idx="948">
                  <c:v>37.721100000000924</c:v>
                </c:pt>
                <c:pt idx="949">
                  <c:v>37.721200000000927</c:v>
                </c:pt>
                <c:pt idx="950">
                  <c:v>37.72130000000093</c:v>
                </c:pt>
                <c:pt idx="951">
                  <c:v>37.721400000000934</c:v>
                </c:pt>
                <c:pt idx="952">
                  <c:v>37.721500000000937</c:v>
                </c:pt>
                <c:pt idx="953">
                  <c:v>37.72160000000094</c:v>
                </c:pt>
                <c:pt idx="954">
                  <c:v>37.721700000000943</c:v>
                </c:pt>
                <c:pt idx="955">
                  <c:v>37.721800000000947</c:v>
                </c:pt>
                <c:pt idx="956">
                  <c:v>37.72190000000095</c:v>
                </c:pt>
                <c:pt idx="957">
                  <c:v>37.722000000000953</c:v>
                </c:pt>
                <c:pt idx="958">
                  <c:v>37.722100000000957</c:v>
                </c:pt>
                <c:pt idx="959">
                  <c:v>37.72220000000096</c:v>
                </c:pt>
                <c:pt idx="960">
                  <c:v>37.722300000000963</c:v>
                </c:pt>
                <c:pt idx="961">
                  <c:v>37.722400000000967</c:v>
                </c:pt>
                <c:pt idx="962">
                  <c:v>37.72250000000097</c:v>
                </c:pt>
                <c:pt idx="963">
                  <c:v>37.722600000000973</c:v>
                </c:pt>
                <c:pt idx="964">
                  <c:v>37.722700000000977</c:v>
                </c:pt>
                <c:pt idx="965">
                  <c:v>37.72280000000098</c:v>
                </c:pt>
                <c:pt idx="966">
                  <c:v>37.722900000000983</c:v>
                </c:pt>
                <c:pt idx="967">
                  <c:v>37.723000000000987</c:v>
                </c:pt>
                <c:pt idx="968">
                  <c:v>37.72310000000099</c:v>
                </c:pt>
                <c:pt idx="969">
                  <c:v>37.723200000000993</c:v>
                </c:pt>
                <c:pt idx="970">
                  <c:v>37.723300000000997</c:v>
                </c:pt>
                <c:pt idx="971">
                  <c:v>37.723400000001</c:v>
                </c:pt>
                <c:pt idx="972">
                  <c:v>37.723500000001003</c:v>
                </c:pt>
                <c:pt idx="973">
                  <c:v>37.723600000001007</c:v>
                </c:pt>
                <c:pt idx="974">
                  <c:v>37.72370000000101</c:v>
                </c:pt>
                <c:pt idx="975">
                  <c:v>37.723800000001013</c:v>
                </c:pt>
                <c:pt idx="976">
                  <c:v>37.723900000001017</c:v>
                </c:pt>
                <c:pt idx="977">
                  <c:v>37.72400000000102</c:v>
                </c:pt>
                <c:pt idx="978">
                  <c:v>37.724100000001023</c:v>
                </c:pt>
                <c:pt idx="979">
                  <c:v>37.724200000001026</c:v>
                </c:pt>
                <c:pt idx="980">
                  <c:v>37.72430000000103</c:v>
                </c:pt>
                <c:pt idx="981">
                  <c:v>37.724400000001033</c:v>
                </c:pt>
                <c:pt idx="982">
                  <c:v>37.724500000001036</c:v>
                </c:pt>
                <c:pt idx="983">
                  <c:v>37.72460000000104</c:v>
                </c:pt>
                <c:pt idx="984">
                  <c:v>37.724700000001043</c:v>
                </c:pt>
                <c:pt idx="985">
                  <c:v>37.724800000001046</c:v>
                </c:pt>
                <c:pt idx="986">
                  <c:v>37.72490000000105</c:v>
                </c:pt>
                <c:pt idx="987">
                  <c:v>37.725000000001053</c:v>
                </c:pt>
                <c:pt idx="988">
                  <c:v>37.725100000001056</c:v>
                </c:pt>
                <c:pt idx="989">
                  <c:v>37.72520000000106</c:v>
                </c:pt>
                <c:pt idx="990">
                  <c:v>37.725300000001063</c:v>
                </c:pt>
                <c:pt idx="991">
                  <c:v>37.725400000001066</c:v>
                </c:pt>
                <c:pt idx="992">
                  <c:v>37.72550000000107</c:v>
                </c:pt>
                <c:pt idx="993">
                  <c:v>37.725600000001073</c:v>
                </c:pt>
                <c:pt idx="994">
                  <c:v>37.725700000001076</c:v>
                </c:pt>
                <c:pt idx="995">
                  <c:v>37.72580000000108</c:v>
                </c:pt>
                <c:pt idx="996">
                  <c:v>37.725900000001083</c:v>
                </c:pt>
                <c:pt idx="997">
                  <c:v>37.726000000001086</c:v>
                </c:pt>
                <c:pt idx="998">
                  <c:v>37.72610000000109</c:v>
                </c:pt>
                <c:pt idx="999">
                  <c:v>37.726200000001093</c:v>
                </c:pt>
                <c:pt idx="1000">
                  <c:v>37.726300000001096</c:v>
                </c:pt>
              </c:numCache>
            </c:numRef>
          </c:xVal>
          <c:yVal>
            <c:numRef>
              <c:f>Calculs!$K$4:$K$1004</c:f>
              <c:numCache>
                <c:formatCode>0.00</c:formatCode>
                <c:ptCount val="1001"/>
                <c:pt idx="0">
                  <c:v>0</c:v>
                </c:pt>
                <c:pt idx="1">
                  <c:v>3.562696885685801E-5</c:v>
                </c:pt>
                <c:pt idx="2">
                  <c:v>1.1875575187218533E-3</c:v>
                </c:pt>
                <c:pt idx="3">
                  <c:v>5.5464952848076647E-3</c:v>
                </c:pt>
                <c:pt idx="4">
                  <c:v>1.5204678378389128E-2</c:v>
                </c:pt>
                <c:pt idx="5">
                  <c:v>3.2256526919684975E-2</c:v>
                </c:pt>
                <c:pt idx="6">
                  <c:v>5.8269452385194841E-2</c:v>
                </c:pt>
                <c:pt idx="7">
                  <c:v>9.3753305161804801E-2</c:v>
                </c:pt>
                <c:pt idx="8">
                  <c:v>0.13868858422863994</c:v>
                </c:pt>
                <c:pt idx="9">
                  <c:v>0.19305568704877241</c:v>
                </c:pt>
                <c:pt idx="10">
                  <c:v>0.25683490991255581</c:v>
                </c:pt>
                <c:pt idx="11">
                  <c:v>0.33000644828484993</c:v>
                </c:pt>
                <c:pt idx="12">
                  <c:v>0.41255039715610847</c:v>
                </c:pt>
                <c:pt idx="13">
                  <c:v>0.50444675139730177</c:v>
                </c:pt>
                <c:pt idx="14">
                  <c:v>0.60567540611864645</c:v>
                </c:pt>
                <c:pt idx="15">
                  <c:v>0.71621615703211317</c:v>
                </c:pt>
                <c:pt idx="16">
                  <c:v>0.83604870081768412</c:v>
                </c:pt>
                <c:pt idx="17">
                  <c:v>0.96515263549333041</c:v>
                </c:pt>
                <c:pt idx="18">
                  <c:v>1.1035074607886803</c:v>
                </c:pt>
                <c:pt idx="19">
                  <c:v>1.2510925785223481</c:v>
                </c:pt>
                <c:pt idx="20">
                  <c:v>1.4078872929828936</c:v>
                </c:pt>
                <c:pt idx="21">
                  <c:v>1.5738708113133821</c:v>
                </c:pt>
                <c:pt idx="22">
                  <c:v>1.7490222438995127</c:v>
                </c:pt>
                <c:pt idx="23">
                  <c:v>1.9333206047612856</c:v>
                </c:pt>
                <c:pt idx="24">
                  <c:v>2.1267448119481767</c:v>
                </c:pt>
                <c:pt idx="25">
                  <c:v>2.3292736879377847</c:v>
                </c:pt>
                <c:pt idx="26">
                  <c:v>2.540885960037925</c:v>
                </c:pt>
                <c:pt idx="27">
                  <c:v>2.7615602607921304</c:v>
                </c:pt>
                <c:pt idx="28">
                  <c:v>2.9912751283885326</c:v>
                </c:pt>
                <c:pt idx="29">
                  <c:v>3.230009007072089</c:v>
                </c:pt>
                <c:pt idx="30">
                  <c:v>3.4777402475601189</c:v>
                </c:pt>
                <c:pt idx="31">
                  <c:v>3.7344471074611216</c:v>
                </c:pt>
                <c:pt idx="32">
                  <c:v>4.000107751696838</c:v>
                </c:pt>
                <c:pt idx="33">
                  <c:v>4.274696525166461</c:v>
                </c:pt>
                <c:pt idx="34">
                  <c:v>4.5581875509029022</c:v>
                </c:pt>
                <c:pt idx="35">
                  <c:v>4.8505584600409337</c:v>
                </c:pt>
                <c:pt idx="36">
                  <c:v>5.1517867981019645</c:v>
                </c:pt>
                <c:pt idx="37">
                  <c:v>5.4618500270532619</c:v>
                </c:pt>
                <c:pt idx="38">
                  <c:v>5.7807255254015475</c:v>
                </c:pt>
                <c:pt idx="39">
                  <c:v>6.108390588317401</c:v>
                </c:pt>
                <c:pt idx="40">
                  <c:v>6.4448224277874928</c:v>
                </c:pt>
                <c:pt idx="41">
                  <c:v>6.78999817279204</c:v>
                </c:pt>
                <c:pt idx="42">
                  <c:v>7.1438948695052158</c:v>
                </c:pt>
                <c:pt idx="43">
                  <c:v>7.5064894815165157</c:v>
                </c:pt>
                <c:pt idx="44">
                  <c:v>7.8777588900713127</c:v>
                </c:pt>
                <c:pt idx="45">
                  <c:v>8.2576798943290477</c:v>
                </c:pt>
                <c:pt idx="46">
                  <c:v>8.6462292116376762</c:v>
                </c:pt>
                <c:pt idx="47">
                  <c:v>9.0433834778231219</c:v>
                </c:pt>
                <c:pt idx="48">
                  <c:v>9.4491192474926535</c:v>
                </c:pt>
                <c:pt idx="49">
                  <c:v>9.8634129943511848</c:v>
                </c:pt>
                <c:pt idx="50">
                  <c:v>10.286241111529611</c:v>
                </c:pt>
                <c:pt idx="51">
                  <c:v>10.717582703030709</c:v>
                </c:pt>
                <c:pt idx="52">
                  <c:v>11.157422379425888</c:v>
                </c:pt>
                <c:pt idx="53">
                  <c:v>11.605747472928835</c:v>
                </c:pt>
                <c:pt idx="54">
                  <c:v>12.062545248107767</c:v>
                </c:pt>
                <c:pt idx="55">
                  <c:v>12.5278029020023</c:v>
                </c:pt>
                <c:pt idx="56">
                  <c:v>13.001507564247742</c:v>
                </c:pt>
                <c:pt idx="57">
                  <c:v>13.483646297206469</c:v>
                </c:pt>
                <c:pt idx="58">
                  <c:v>13.974206096106016</c:v>
                </c:pt>
                <c:pt idx="59">
                  <c:v>14.473173889183581</c:v>
                </c:pt>
                <c:pt idx="60">
                  <c:v>14.980536537836667</c:v>
                </c:pt>
                <c:pt idx="61">
                  <c:v>15.496280836779572</c:v>
                </c:pt>
                <c:pt idx="62">
                  <c:v>16.020393514205502</c:v>
                </c:pt>
                <c:pt idx="63">
                  <c:v>16.552861231954065</c:v>
                </c:pt>
                <c:pt idx="64">
                  <c:v>17.093670585683952</c:v>
                </c:pt>
                <c:pt idx="65">
                  <c:v>17.642808105050591</c:v>
                </c:pt>
                <c:pt idx="66">
                  <c:v>18.200260253888597</c:v>
                </c:pt>
                <c:pt idx="67">
                  <c:v>18.766013430398861</c:v>
                </c:pt>
                <c:pt idx="68">
                  <c:v>19.340053967340097</c:v>
                </c:pt>
                <c:pt idx="69">
                  <c:v>19.922368132224715</c:v>
                </c:pt>
                <c:pt idx="70">
                  <c:v>20.51294212751888</c:v>
                </c:pt>
                <c:pt idx="71">
                  <c:v>21.111762090846604</c:v>
                </c:pt>
                <c:pt idx="72">
                  <c:v>21.718814095197782</c:v>
                </c:pt>
                <c:pt idx="73">
                  <c:v>22.334084149140036</c:v>
                </c:pt>
                <c:pt idx="74">
                  <c:v>22.957558197034245</c:v>
                </c:pt>
                <c:pt idx="75">
                  <c:v>23.589222119253687</c:v>
                </c:pt>
                <c:pt idx="76">
                  <c:v>24.229061732406674</c:v>
                </c:pt>
                <c:pt idx="77">
                  <c:v>24.877062789562594</c:v>
                </c:pt>
                <c:pt idx="78">
                  <c:v>25.533210980481272</c:v>
                </c:pt>
                <c:pt idx="79">
                  <c:v>26.197491931845555</c:v>
                </c:pt>
                <c:pt idx="80">
                  <c:v>26.869891207497066</c:v>
                </c:pt>
                <c:pt idx="81">
                  <c:v>27.55039430867502</c:v>
                </c:pt>
                <c:pt idx="82">
                  <c:v>28.238986674258054</c:v>
                </c:pt>
                <c:pt idx="83">
                  <c:v>28.93565368100899</c:v>
                </c:pt>
                <c:pt idx="84">
                  <c:v>29.640380643822454</c:v>
                </c:pt>
                <c:pt idx="85">
                  <c:v>30.35315281597531</c:v>
                </c:pt>
                <c:pt idx="86">
                  <c:v>31.073955389379837</c:v>
                </c:pt>
                <c:pt idx="87">
                  <c:v>31.802773494839574</c:v>
                </c:pt>
                <c:pt idx="88">
                  <c:v>32.539592202307801</c:v>
                </c:pt>
                <c:pt idx="89">
                  <c:v>33.284396521148587</c:v>
                </c:pt>
                <c:pt idx="90">
                  <c:v>34.037171400400354</c:v>
                </c:pt>
                <c:pt idx="91">
                  <c:v>34.797901729041897</c:v>
                </c:pt>
                <c:pt idx="92">
                  <c:v>35.566572336260847</c:v>
                </c:pt>
                <c:pt idx="93">
                  <c:v>36.343167991724457</c:v>
                </c:pt>
                <c:pt idx="94">
                  <c:v>37.12767340585274</c:v>
                </c:pt>
                <c:pt idx="95">
                  <c:v>37.92007323009387</c:v>
                </c:pt>
                <c:pt idx="96">
                  <c:v>38.720352057201815</c:v>
                </c:pt>
                <c:pt idx="97">
                  <c:v>39.528494421516164</c:v>
                </c:pt>
                <c:pt idx="98">
                  <c:v>40.344484799244064</c:v>
                </c:pt>
                <c:pt idx="99">
                  <c:v>41.168307608744314</c:v>
                </c:pt>
                <c:pt idx="100">
                  <c:v>41.999947210813467</c:v>
                </c:pt>
                <c:pt idx="101">
                  <c:v>42.839386621090078</c:v>
                </c:pt>
                <c:pt idx="102">
                  <c:v>43.686606221046318</c:v>
                </c:pt>
                <c:pt idx="103">
                  <c:v>44.541585044517475</c:v>
                </c:pt>
                <c:pt idx="104">
                  <c:v>45.404302065707192</c:v>
                </c:pt>
                <c:pt idx="105">
                  <c:v>46.274736199601875</c:v>
                </c:pt>
                <c:pt idx="106">
                  <c:v>47.152866302386762</c:v>
                </c:pt>
                <c:pt idx="107">
                  <c:v>48.038671171863662</c:v>
                </c:pt>
                <c:pt idx="108">
                  <c:v>48.932129547870304</c:v>
                </c:pt>
                <c:pt idx="109">
                  <c:v>49.833220112701213</c:v>
                </c:pt>
                <c:pt idx="110">
                  <c:v>50.741921491530142</c:v>
                </c:pt>
                <c:pt idx="111">
                  <c:v>51.658212252833941</c:v>
                </c:pt>
                <c:pt idx="112">
                  <c:v>52.582070908817876</c:v>
                </c:pt>
                <c:pt idx="113">
                  <c:v>53.513475915842321</c:v>
                </c:pt>
                <c:pt idx="114">
                  <c:v>54.452405674850795</c:v>
                </c:pt>
                <c:pt idx="115">
                  <c:v>55.398838531799292</c:v>
                </c:pt>
                <c:pt idx="116">
                  <c:v>56.352752778086909</c:v>
                </c:pt>
                <c:pt idx="117">
                  <c:v>57.314126650987625</c:v>
                </c:pt>
                <c:pt idx="118">
                  <c:v>58.282938334083319</c:v>
                </c:pt>
                <c:pt idx="119">
                  <c:v>59.259165957697896</c:v>
                </c:pt>
                <c:pt idx="120">
                  <c:v>60.24278759933253</c:v>
                </c:pt>
                <c:pt idx="121">
                  <c:v>61.233781284101966</c:v>
                </c:pt>
                <c:pt idx="122">
                  <c:v>62.232124985171808</c:v>
                </c:pt>
                <c:pt idx="123">
                  <c:v>63.237796624196861</c:v>
                </c:pt>
                <c:pt idx="124">
                  <c:v>64.250774071760361</c:v>
                </c:pt>
                <c:pt idx="125">
                  <c:v>65.271035147814132</c:v>
                </c:pt>
                <c:pt idx="126">
                  <c:v>66.298557622119631</c:v>
                </c:pt>
                <c:pt idx="127">
                  <c:v>67.333319214689794</c:v>
                </c:pt>
                <c:pt idx="128">
                  <c:v>68.375297596231746</c:v>
                </c:pt>
                <c:pt idx="129">
                  <c:v>69.42447038859018</c:v>
                </c:pt>
                <c:pt idx="130">
                  <c:v>70.48081516519153</c:v>
                </c:pt>
                <c:pt idx="131">
                  <c:v>71.544309451488857</c:v>
                </c:pt>
                <c:pt idx="132">
                  <c:v>72.614930725407319</c:v>
                </c:pt>
                <c:pt idx="133">
                  <c:v>73.692656417790317</c:v>
                </c:pt>
                <c:pt idx="134">
                  <c:v>74.777463912846187</c:v>
                </c:pt>
                <c:pt idx="135">
                  <c:v>75.869330548595499</c:v>
                </c:pt>
                <c:pt idx="136">
                  <c:v>76.968233617318845</c:v>
                </c:pt>
                <c:pt idx="137">
                  <c:v>78.074150366005099</c:v>
                </c:pt>
                <c:pt idx="138">
                  <c:v>79.187057996800164</c:v>
                </c:pt>
                <c:pt idx="139">
                  <c:v>80.306933667456079</c:v>
                </c:pt>
                <c:pt idx="140">
                  <c:v>81.433754491780604</c:v>
                </c:pt>
                <c:pt idx="141">
                  <c:v>82.567497540087061</c:v>
                </c:pt>
                <c:pt idx="142">
                  <c:v>83.708139839644559</c:v>
                </c:pt>
                <c:pt idx="143">
                  <c:v>84.855658375128485</c:v>
                </c:pt>
                <c:pt idx="144">
                  <c:v>86.010030089071236</c:v>
                </c:pt>
                <c:pt idx="145">
                  <c:v>87.171231882313208</c:v>
                </c:pt>
                <c:pt idx="146">
                  <c:v>88.339240614453956</c:v>
                </c:pt>
                <c:pt idx="147">
                  <c:v>89.514033104303522</c:v>
                </c:pt>
                <c:pt idx="148">
                  <c:v>90.695586130333879</c:v>
                </c:pt>
                <c:pt idx="149">
                  <c:v>91.883876431130489</c:v>
                </c:pt>
                <c:pt idx="150">
                  <c:v>93.078880705843929</c:v>
                </c:pt>
                <c:pt idx="151">
                  <c:v>94.280576053152885</c:v>
                </c:pt>
                <c:pt idx="152">
                  <c:v>95.488940410499865</c:v>
                </c:pt>
                <c:pt idx="153">
                  <c:v>96.703952116208185</c:v>
                </c:pt>
                <c:pt idx="154">
                  <c:v>97.925589471307063</c:v>
                </c:pt>
                <c:pt idx="155">
                  <c:v>99.153830739944809</c:v>
                </c:pt>
                <c:pt idx="156">
                  <c:v>100.38865414980206</c:v>
                </c:pt>
                <c:pt idx="157">
                  <c:v>101.63003789250509</c:v>
                </c:pt>
                <c:pt idx="158">
                  <c:v>102.87796012403895</c:v>
                </c:pt>
                <c:pt idx="159">
                  <c:v>104.13239896516082</c:v>
                </c:pt>
                <c:pt idx="160">
                  <c:v>105.39333250181311</c:v>
                </c:pt>
                <c:pt idx="161">
                  <c:v>106.66073878553654</c:v>
                </c:pt>
                <c:pt idx="162">
                  <c:v>107.93459583388315</c:v>
                </c:pt>
                <c:pt idx="163">
                  <c:v>109.21488163082908</c:v>
                </c:pt>
                <c:pt idx="164">
                  <c:v>110.50157412718731</c:v>
                </c:pt>
                <c:pt idx="165">
                  <c:v>111.79465124102009</c:v>
                </c:pt>
                <c:pt idx="166">
                  <c:v>113.09409085805129</c:v>
                </c:pt>
                <c:pt idx="167">
                  <c:v>114.39987083207838</c:v>
                </c:pt>
                <c:pt idx="168">
                  <c:v>115.71196898538427</c:v>
                </c:pt>
                <c:pt idx="169">
                  <c:v>117.03036310914881</c:v>
                </c:pt>
                <c:pt idx="170">
                  <c:v>118.35503096385993</c:v>
                </c:pt>
                <c:pt idx="171">
                  <c:v>119.68595027972458</c:v>
                </c:pt>
                <c:pt idx="172">
                  <c:v>121.02309875707918</c:v>
                </c:pt>
                <c:pt idx="173">
                  <c:v>122.36645406679979</c:v>
                </c:pt>
                <c:pt idx="174">
                  <c:v>123.71599385071181</c:v>
                </c:pt>
                <c:pt idx="175">
                  <c:v>125.07169572199929</c:v>
                </c:pt>
                <c:pt idx="176">
                  <c:v>126.43353726561378</c:v>
                </c:pt>
                <c:pt idx="177">
                  <c:v>127.80149603868269</c:v>
                </c:pt>
                <c:pt idx="178">
                  <c:v>129.17554957091718</c:v>
                </c:pt>
                <c:pt idx="179">
                  <c:v>130.55567536501954</c:v>
                </c:pt>
                <c:pt idx="180">
                  <c:v>131.94185089709001</c:v>
                </c:pt>
                <c:pt idx="181">
                  <c:v>133.33405361703299</c:v>
                </c:pt>
                <c:pt idx="182">
                  <c:v>134.73226094896279</c:v>
                </c:pt>
                <c:pt idx="183">
                  <c:v>136.13645029160861</c:v>
                </c:pt>
                <c:pt idx="184">
                  <c:v>137.54659901871912</c:v>
                </c:pt>
                <c:pt idx="185">
                  <c:v>138.96268447946608</c:v>
                </c:pt>
                <c:pt idx="186">
                  <c:v>140.38468399884755</c:v>
                </c:pt>
                <c:pt idx="187">
                  <c:v>141.81257487809032</c:v>
                </c:pt>
                <c:pt idx="188">
                  <c:v>143.24633439505158</c:v>
                </c:pt>
                <c:pt idx="189">
                  <c:v>144.68593980461992</c:v>
                </c:pt>
                <c:pt idx="190">
                  <c:v>146.13136833911557</c:v>
                </c:pt>
                <c:pt idx="191">
                  <c:v>147.5825972086898</c:v>
                </c:pt>
                <c:pt idx="192">
                  <c:v>149.03960360172363</c:v>
                </c:pt>
                <c:pt idx="193">
                  <c:v>150.50236468522559</c:v>
                </c:pt>
                <c:pt idx="194">
                  <c:v>151.97085760522876</c:v>
                </c:pt>
                <c:pt idx="195">
                  <c:v>153.44505948718688</c:v>
                </c:pt>
                <c:pt idx="196">
                  <c:v>154.92494743636971</c:v>
                </c:pt>
                <c:pt idx="197">
                  <c:v>156.41049853825726</c:v>
                </c:pt>
                <c:pt idx="198">
                  <c:v>157.90168985893337</c:v>
                </c:pt>
                <c:pt idx="199">
                  <c:v>159.39849844547814</c:v>
                </c:pt>
                <c:pt idx="200">
                  <c:v>160.90090132635962</c:v>
                </c:pt>
                <c:pt idx="201">
                  <c:v>162.40887551182428</c:v>
                </c:pt>
                <c:pt idx="202">
                  <c:v>163.92239799428671</c:v>
                </c:pt>
                <c:pt idx="203">
                  <c:v>165.44144574871822</c:v>
                </c:pt>
                <c:pt idx="204">
                  <c:v>166.96599573303442</c:v>
                </c:pt>
                <c:pt idx="205">
                  <c:v>168.49602488848168</c:v>
                </c:pt>
                <c:pt idx="206">
                  <c:v>170.03151014002279</c:v>
                </c:pt>
                <c:pt idx="207">
                  <c:v>171.57242839672116</c:v>
                </c:pt>
                <c:pt idx="208">
                  <c:v>173.1187565521243</c:v>
                </c:pt>
                <c:pt idx="209">
                  <c:v>174.67047148464587</c:v>
                </c:pt>
                <c:pt idx="210">
                  <c:v>176.2275500579469</c:v>
                </c:pt>
                <c:pt idx="211">
                  <c:v>177.78996912131555</c:v>
                </c:pt>
                <c:pt idx="212">
                  <c:v>179.35770551004597</c:v>
                </c:pt>
                <c:pt idx="213">
                  <c:v>180.93073604581591</c:v>
                </c:pt>
                <c:pt idx="214">
                  <c:v>182.50903753706299</c:v>
                </c:pt>
                <c:pt idx="215">
                  <c:v>184.09258677935998</c:v>
                </c:pt>
                <c:pt idx="216">
                  <c:v>185.68136055578867</c:v>
                </c:pt>
                <c:pt idx="217">
                  <c:v>187.27533563731268</c:v>
                </c:pt>
                <c:pt idx="218">
                  <c:v>188.87448878314879</c:v>
                </c:pt>
                <c:pt idx="219">
                  <c:v>190.47879674113722</c:v>
                </c:pt>
                <c:pt idx="220">
                  <c:v>192.08823624811043</c:v>
                </c:pt>
                <c:pt idx="221">
                  <c:v>193.70278403026083</c:v>
                </c:pt>
                <c:pt idx="222">
                  <c:v>195.32241680350691</c:v>
                </c:pt>
                <c:pt idx="223">
                  <c:v>196.9471112738583</c:v>
                </c:pt>
                <c:pt idx="224">
                  <c:v>198.57684413777926</c:v>
                </c:pt>
                <c:pt idx="225">
                  <c:v>200.21159208255105</c:v>
                </c:pt>
                <c:pt idx="226">
                  <c:v>201.85133178663267</c:v>
                </c:pt>
                <c:pt idx="227">
                  <c:v>203.49603992002042</c:v>
                </c:pt>
                <c:pt idx="228">
                  <c:v>205.1456931446059</c:v>
                </c:pt>
                <c:pt idx="229">
                  <c:v>206.80026811453277</c:v>
                </c:pt>
                <c:pt idx="230">
                  <c:v>208.4597414765519</c:v>
                </c:pt>
                <c:pt idx="231">
                  <c:v>210.12408987037523</c:v>
                </c:pt>
                <c:pt idx="232">
                  <c:v>211.79328992902808</c:v>
                </c:pt>
                <c:pt idx="233">
                  <c:v>213.46731827920007</c:v>
                </c:pt>
                <c:pt idx="234">
                  <c:v>215.14615154159446</c:v>
                </c:pt>
                <c:pt idx="235">
                  <c:v>216.82976633127618</c:v>
                </c:pt>
                <c:pt idx="236">
                  <c:v>218.51813925801812</c:v>
                </c:pt>
                <c:pt idx="237">
                  <c:v>220.21124692664611</c:v>
                </c:pt>
                <c:pt idx="238">
                  <c:v>221.90906593738234</c:v>
                </c:pt>
                <c:pt idx="239">
                  <c:v>223.61157288618708</c:v>
                </c:pt>
                <c:pt idx="240">
                  <c:v>225.31874436509912</c:v>
                </c:pt>
                <c:pt idx="241">
                  <c:v>227.03055696257442</c:v>
                </c:pt>
                <c:pt idx="242">
                  <c:v>228.74698726382334</c:v>
                </c:pt>
                <c:pt idx="243">
                  <c:v>230.46801185114617</c:v>
                </c:pt>
                <c:pt idx="244">
                  <c:v>232.19360730426726</c:v>
                </c:pt>
                <c:pt idx="245">
                  <c:v>233.92375020066734</c:v>
                </c:pt>
                <c:pt idx="246">
                  <c:v>235.65841711591429</c:v>
                </c:pt>
                <c:pt idx="247">
                  <c:v>237.39758462399246</c:v>
                </c:pt>
                <c:pt idx="248">
                  <c:v>239.14122929763008</c:v>
                </c:pt>
                <c:pt idx="249">
                  <c:v>240.88932770862525</c:v>
                </c:pt>
                <c:pt idx="250">
                  <c:v>242.64185642817023</c:v>
                </c:pt>
                <c:pt idx="251">
                  <c:v>244.39879013416561</c:v>
                </c:pt>
                <c:pt idx="252">
                  <c:v>246.1600997189361</c:v>
                </c:pt>
                <c:pt idx="253">
                  <c:v>247.92575418464855</c:v>
                </c:pt>
                <c:pt idx="254">
                  <c:v>249.69572253839024</c:v>
                </c:pt>
                <c:pt idx="255">
                  <c:v>251.4699737926141</c:v>
                </c:pt>
                <c:pt idx="256">
                  <c:v>253.24847696558112</c:v>
                </c:pt>
                <c:pt idx="257">
                  <c:v>255.03120108179979</c:v>
                </c:pt>
                <c:pt idx="258">
                  <c:v>256.81811517246263</c:v>
                </c:pt>
                <c:pt idx="259">
                  <c:v>258.60918827587949</c:v>
                </c:pt>
                <c:pt idx="260">
                  <c:v>260.40438943790843</c:v>
                </c:pt>
                <c:pt idx="261">
                  <c:v>262.20368771238293</c:v>
                </c:pt>
                <c:pt idx="262">
                  <c:v>264.00705216153665</c:v>
                </c:pt>
                <c:pt idx="263">
                  <c:v>265.81445185642491</c:v>
                </c:pt>
                <c:pt idx="264">
                  <c:v>267.62585587734321</c:v>
                </c:pt>
                <c:pt idx="265">
                  <c:v>269.44123331424288</c:v>
                </c:pt>
                <c:pt idx="266">
                  <c:v>271.26055326714345</c:v>
                </c:pt>
                <c:pt idx="267">
                  <c:v>273.08378484654213</c:v>
                </c:pt>
                <c:pt idx="268">
                  <c:v>274.91089717382022</c:v>
                </c:pt>
                <c:pt idx="269">
                  <c:v>276.74185938164652</c:v>
                </c:pt>
                <c:pt idx="270">
                  <c:v>278.57664061437765</c:v>
                </c:pt>
                <c:pt idx="271">
                  <c:v>280.41521002845525</c:v>
                </c:pt>
                <c:pt idx="272">
                  <c:v>282.25753679280018</c:v>
                </c:pt>
                <c:pt idx="273">
                  <c:v>284.10359008920358</c:v>
                </c:pt>
                <c:pt idx="274">
                  <c:v>285.95333911271501</c:v>
                </c:pt>
                <c:pt idx="275">
                  <c:v>287.80675307202728</c:v>
                </c:pt>
                <c:pt idx="276">
                  <c:v>289.66380118985836</c:v>
                </c:pt>
                <c:pt idx="277">
                  <c:v>291.52445270333016</c:v>
                </c:pt>
                <c:pt idx="278">
                  <c:v>293.38867686434401</c:v>
                </c:pt>
                <c:pt idx="279">
                  <c:v>295.2564429399535</c:v>
                </c:pt>
                <c:pt idx="280">
                  <c:v>297.12772021273372</c:v>
                </c:pt>
                <c:pt idx="281">
                  <c:v>299.00247798114771</c:v>
                </c:pt>
                <c:pt idx="282">
                  <c:v>300.88068555990958</c:v>
                </c:pt>
                <c:pt idx="283">
                  <c:v>302.7623122803447</c:v>
                </c:pt>
                <c:pt idx="284">
                  <c:v>304.6473274907467</c:v>
                </c:pt>
                <c:pt idx="285">
                  <c:v>306.53570055673129</c:v>
                </c:pt>
                <c:pt idx="286">
                  <c:v>308.4274008615871</c:v>
                </c:pt>
                <c:pt idx="287">
                  <c:v>310.32239780662326</c:v>
                </c:pt>
                <c:pt idx="288">
                  <c:v>312.22066081151388</c:v>
                </c:pt>
                <c:pt idx="289">
                  <c:v>314.12215931463948</c:v>
                </c:pt>
                <c:pt idx="290">
                  <c:v>316.02686277342514</c:v>
                </c:pt>
                <c:pt idx="291">
                  <c:v>317.93474066467581</c:v>
                </c:pt>
                <c:pt idx="292">
                  <c:v>319.84576248490816</c:v>
                </c:pt>
                <c:pt idx="293">
                  <c:v>321.7598977506795</c:v>
                </c:pt>
                <c:pt idx="294">
                  <c:v>323.67711599891351</c:v>
                </c:pt>
                <c:pt idx="295">
                  <c:v>325.59738678722289</c:v>
                </c:pt>
                <c:pt idx="296">
                  <c:v>327.52067969422876</c:v>
                </c:pt>
                <c:pt idx="297">
                  <c:v>329.44696431987722</c:v>
                </c:pt>
                <c:pt idx="298">
                  <c:v>331.3761895080861</c:v>
                </c:pt>
                <c:pt idx="299">
                  <c:v>333.30826258258429</c:v>
                </c:pt>
                <c:pt idx="300">
                  <c:v>335.24307016300037</c:v>
                </c:pt>
                <c:pt idx="301">
                  <c:v>337.1804989688448</c:v>
                </c:pt>
                <c:pt idx="302">
                  <c:v>339.12043582197754</c:v>
                </c:pt>
                <c:pt idx="303">
                  <c:v>341.0627676490372</c:v>
                </c:pt>
                <c:pt idx="304">
                  <c:v>343.0073814838313</c:v>
                </c:pt>
                <c:pt idx="305">
                  <c:v>344.95416446968767</c:v>
                </c:pt>
                <c:pt idx="306">
                  <c:v>346.90300386176767</c:v>
                </c:pt>
                <c:pt idx="307">
                  <c:v>348.85378702934025</c:v>
                </c:pt>
                <c:pt idx="308">
                  <c:v>350.80640145801783</c:v>
                </c:pt>
                <c:pt idx="309">
                  <c:v>352.76073475195312</c:v>
                </c:pt>
                <c:pt idx="310">
                  <c:v>354.71667463599795</c:v>
                </c:pt>
                <c:pt idx="311">
                  <c:v>356.67410895782319</c:v>
                </c:pt>
                <c:pt idx="312">
                  <c:v>358.63292569000038</c:v>
                </c:pt>
                <c:pt idx="313">
                  <c:v>360.59301293204504</c:v>
                </c:pt>
                <c:pt idx="314">
                  <c:v>362.55425891242163</c:v>
                </c:pt>
                <c:pt idx="315">
                  <c:v>364.51655199051027</c:v>
                </c:pt>
                <c:pt idx="316">
                  <c:v>366.47978065853539</c:v>
                </c:pt>
                <c:pt idx="317">
                  <c:v>368.44383354345621</c:v>
                </c:pt>
                <c:pt idx="318">
                  <c:v>370.40859940881944</c:v>
                </c:pt>
                <c:pt idx="319">
                  <c:v>372.37396715657383</c:v>
                </c:pt>
                <c:pt idx="320">
                  <c:v>374.33982582884727</c:v>
                </c:pt>
                <c:pt idx="321">
                  <c:v>376.30607287185467</c:v>
                </c:pt>
                <c:pt idx="322">
                  <c:v>378.27262238995047</c:v>
                </c:pt>
                <c:pt idx="323">
                  <c:v>380.23939686296978</c:v>
                </c:pt>
                <c:pt idx="324">
                  <c:v>382.20631887292132</c:v>
                </c:pt>
                <c:pt idx="325">
                  <c:v>384.17331110472998</c:v>
                </c:pt>
                <c:pt idx="326">
                  <c:v>386.14029634696135</c:v>
                </c:pt>
                <c:pt idx="327">
                  <c:v>388.10719749252803</c:v>
                </c:pt>
                <c:pt idx="328">
                  <c:v>390.07393753937794</c:v>
                </c:pt>
                <c:pt idx="329">
                  <c:v>392.04043959116484</c:v>
                </c:pt>
                <c:pt idx="330">
                  <c:v>394.00662685790115</c:v>
                </c:pt>
                <c:pt idx="331">
                  <c:v>395.9724226565927</c:v>
                </c:pt>
                <c:pt idx="332">
                  <c:v>397.93775041185631</c:v>
                </c:pt>
                <c:pt idx="333">
                  <c:v>399.90253365651938</c:v>
                </c:pt>
                <c:pt idx="334">
                  <c:v>401.86669603220236</c:v>
                </c:pt>
                <c:pt idx="335">
                  <c:v>403.83016128988368</c:v>
                </c:pt>
                <c:pt idx="336">
                  <c:v>405.79285329044751</c:v>
                </c:pt>
                <c:pt idx="337">
                  <c:v>407.75469600521433</c:v>
                </c:pt>
                <c:pt idx="338">
                  <c:v>409.71561351645437</c:v>
                </c:pt>
                <c:pt idx="339">
                  <c:v>411.67553001788417</c:v>
                </c:pt>
                <c:pt idx="340">
                  <c:v>413.63436981514604</c:v>
                </c:pt>
                <c:pt idx="341">
                  <c:v>415.59205732627117</c:v>
                </c:pt>
                <c:pt idx="342">
                  <c:v>417.54851708212544</c:v>
                </c:pt>
                <c:pt idx="343">
                  <c:v>419.50367372683928</c:v>
                </c:pt>
                <c:pt idx="344">
                  <c:v>421.45745201822058</c:v>
                </c:pt>
                <c:pt idx="345">
                  <c:v>423.40977682815139</c:v>
                </c:pt>
                <c:pt idx="346">
                  <c:v>425.36057314296841</c:v>
                </c:pt>
                <c:pt idx="347">
                  <c:v>427.30976606382723</c:v>
                </c:pt>
                <c:pt idx="348">
                  <c:v>429.25728169790193</c:v>
                </c:pt>
                <c:pt idx="349">
                  <c:v>431.20304804816152</c:v>
                </c:pt>
                <c:pt idx="350">
                  <c:v>433.1469941199469</c:v>
                </c:pt>
                <c:pt idx="351">
                  <c:v>435.08904902891459</c:v>
                </c:pt>
                <c:pt idx="352">
                  <c:v>437.02914200127179</c:v>
                </c:pt>
                <c:pt idx="353">
                  <c:v>438.96720237399734</c:v>
                </c:pt>
                <c:pt idx="354">
                  <c:v>440.90315959504875</c:v>
                </c:pt>
                <c:pt idx="355">
                  <c:v>442.83694322355575</c:v>
                </c:pt>
                <c:pt idx="356">
                  <c:v>444.76848292999966</c:v>
                </c:pt>
                <c:pt idx="357">
                  <c:v>446.69770849637956</c:v>
                </c:pt>
                <c:pt idx="358">
                  <c:v>448.62454981636472</c:v>
                </c:pt>
                <c:pt idx="359">
                  <c:v>450.54893689543383</c:v>
                </c:pt>
                <c:pt idx="360">
                  <c:v>452.47081837643316</c:v>
                </c:pt>
                <c:pt idx="361">
                  <c:v>454.39018003335008</c:v>
                </c:pt>
                <c:pt idx="362">
                  <c:v>456.30702618280026</c:v>
                </c:pt>
                <c:pt idx="363">
                  <c:v>458.22136112726434</c:v>
                </c:pt>
                <c:pt idx="364">
                  <c:v>460.13318915514901</c:v>
                </c:pt>
                <c:pt idx="365">
                  <c:v>462.04251454084726</c:v>
                </c:pt>
                <c:pt idx="366">
                  <c:v>463.94934154479887</c:v>
                </c:pt>
                <c:pt idx="367">
                  <c:v>465.8536744135501</c:v>
                </c:pt>
                <c:pt idx="368">
                  <c:v>467.7555173798134</c:v>
                </c:pt>
                <c:pt idx="369">
                  <c:v>469.65487466252665</c:v>
                </c:pt>
                <c:pt idx="370">
                  <c:v>471.55175046691193</c:v>
                </c:pt>
                <c:pt idx="371">
                  <c:v>473.44614898453426</c:v>
                </c:pt>
                <c:pt idx="372">
                  <c:v>475.33807439335988</c:v>
                </c:pt>
                <c:pt idx="373">
                  <c:v>477.2275308578142</c:v>
                </c:pt>
                <c:pt idx="374">
                  <c:v>479.11452252883942</c:v>
                </c:pt>
                <c:pt idx="375">
                  <c:v>480.99905354395185</c:v>
                </c:pt>
                <c:pt idx="376">
                  <c:v>482.88112802729916</c:v>
                </c:pt>
                <c:pt idx="377">
                  <c:v>484.76075008971679</c:v>
                </c:pt>
                <c:pt idx="378">
                  <c:v>486.63792382878466</c:v>
                </c:pt>
                <c:pt idx="379">
                  <c:v>488.51265332888318</c:v>
                </c:pt>
                <c:pt idx="380">
                  <c:v>490.38494266124894</c:v>
                </c:pt>
                <c:pt idx="381">
                  <c:v>492.2547958840305</c:v>
                </c:pt>
                <c:pt idx="382">
                  <c:v>494.12221704234344</c:v>
                </c:pt>
                <c:pt idx="383">
                  <c:v>495.98721016832525</c:v>
                </c:pt>
                <c:pt idx="384">
                  <c:v>497.84977928119014</c:v>
                </c:pt>
                <c:pt idx="385">
                  <c:v>499.70992838728318</c:v>
                </c:pt>
                <c:pt idx="386">
                  <c:v>501.56766148013463</c:v>
                </c:pt>
                <c:pt idx="387">
                  <c:v>503.42298254051337</c:v>
                </c:pt>
                <c:pt idx="388">
                  <c:v>505.27589553648062</c:v>
                </c:pt>
                <c:pt idx="389">
                  <c:v>507.12640442344309</c:v>
                </c:pt>
                <c:pt idx="390">
                  <c:v>508.9745131442059</c:v>
                </c:pt>
                <c:pt idx="391">
                  <c:v>510.82022562902512</c:v>
                </c:pt>
                <c:pt idx="392">
                  <c:v>512.66354579566018</c:v>
                </c:pt>
                <c:pt idx="393">
                  <c:v>514.50447754942616</c:v>
                </c:pt>
                <c:pt idx="394">
                  <c:v>516.34302478324514</c:v>
                </c:pt>
                <c:pt idx="395">
                  <c:v>518.1791913776982</c:v>
                </c:pt>
                <c:pt idx="396">
                  <c:v>520.01298120107629</c:v>
                </c:pt>
                <c:pt idx="397">
                  <c:v>521.84439810943161</c:v>
                </c:pt>
                <c:pt idx="398">
                  <c:v>523.67344594662791</c:v>
                </c:pt>
                <c:pt idx="399">
                  <c:v>525.50012854439126</c:v>
                </c:pt>
                <c:pt idx="400">
                  <c:v>527.32444972236021</c:v>
                </c:pt>
                <c:pt idx="401">
                  <c:v>545.43807836727581</c:v>
                </c:pt>
                <c:pt idx="402">
                  <c:v>563.31801671721007</c:v>
                </c:pt>
                <c:pt idx="403">
                  <c:v>580.96796810169803</c:v>
                </c:pt>
                <c:pt idx="404">
                  <c:v>598.39152148103028</c:v>
                </c:pt>
                <c:pt idx="405">
                  <c:v>615.59215602771917</c:v>
                </c:pt>
                <c:pt idx="406">
                  <c:v>632.57324547682322</c:v>
                </c:pt>
                <c:pt idx="407">
                  <c:v>649.33806225903595</c:v>
                </c:pt>
                <c:pt idx="408">
                  <c:v>665.88978142947497</c:v>
                </c:pt>
                <c:pt idx="409">
                  <c:v>682.2314844042121</c:v>
                </c:pt>
                <c:pt idx="410">
                  <c:v>698.36616251576254</c:v>
                </c:pt>
                <c:pt idx="411">
                  <c:v>714.29672039798982</c:v>
                </c:pt>
                <c:pt idx="412">
                  <c:v>730.02597921018184</c:v>
                </c:pt>
                <c:pt idx="413">
                  <c:v>745.55667970940715</c:v>
                </c:pt>
                <c:pt idx="414">
                  <c:v>760.89148517965725</c:v>
                </c:pt>
                <c:pt idx="415">
                  <c:v>776.0329842257313</c:v>
                </c:pt>
                <c:pt idx="416">
                  <c:v>790.98369343930221</c:v>
                </c:pt>
                <c:pt idx="417">
                  <c:v>805.74605994412923</c:v>
                </c:pt>
                <c:pt idx="418">
                  <c:v>820.32246382694041</c:v>
                </c:pt>
                <c:pt idx="419">
                  <c:v>834.71522046009909</c:v>
                </c:pt>
                <c:pt idx="420">
                  <c:v>848.92658272178778</c:v>
                </c:pt>
                <c:pt idx="421">
                  <c:v>862.95874311909051</c:v>
                </c:pt>
                <c:pt idx="422">
                  <c:v>876.81383581902401</c:v>
                </c:pt>
                <c:pt idx="423">
                  <c:v>890.49393859226484</c:v>
                </c:pt>
                <c:pt idx="424">
                  <c:v>904.00107467403234</c:v>
                </c:pt>
                <c:pt idx="425">
                  <c:v>917.33721454632359</c:v>
                </c:pt>
                <c:pt idx="426">
                  <c:v>930.50427764544861</c:v>
                </c:pt>
                <c:pt idx="427">
                  <c:v>943.50413399858189</c:v>
                </c:pt>
                <c:pt idx="428">
                  <c:v>956.33860579283362</c:v>
                </c:pt>
                <c:pt idx="429">
                  <c:v>969.00946888013937</c:v>
                </c:pt>
                <c:pt idx="430">
                  <c:v>981.51845422108147</c:v>
                </c:pt>
                <c:pt idx="431">
                  <c:v>993.86724927057753</c:v>
                </c:pt>
                <c:pt idx="432">
                  <c:v>1006.0574993082076</c:v>
                </c:pt>
                <c:pt idx="433">
                  <c:v>1018.0908087157979</c:v>
                </c:pt>
                <c:pt idx="434">
                  <c:v>1029.9687422047332</c:v>
                </c:pt>
                <c:pt idx="435">
                  <c:v>1041.6928259953349</c:v>
                </c:pt>
                <c:pt idx="436">
                  <c:v>1053.2645489505169</c:v>
                </c:pt>
                <c:pt idx="437">
                  <c:v>1064.6853636658079</c:v>
                </c:pt>
                <c:pt idx="438">
                  <c:v>1075.9566875177225</c:v>
                </c:pt>
                <c:pt idx="439">
                  <c:v>1087.0799036723531</c:v>
                </c:pt>
                <c:pt idx="440">
                  <c:v>1098.0563620559594</c:v>
                </c:pt>
                <c:pt idx="441">
                  <c:v>1108.8873802892376</c:v>
                </c:pt>
                <c:pt idx="442">
                  <c:v>1119.5742445868666</c:v>
                </c:pt>
                <c:pt idx="443">
                  <c:v>1130.1182106238407</c:v>
                </c:pt>
                <c:pt idx="444">
                  <c:v>1140.5205043700298</c:v>
                </c:pt>
                <c:pt idx="445">
                  <c:v>1150.7823228943264</c:v>
                </c:pt>
                <c:pt idx="446">
                  <c:v>1160.9048351396739</c:v>
                </c:pt>
                <c:pt idx="447">
                  <c:v>1170.8891826702093</c:v>
                </c:pt>
                <c:pt idx="448">
                  <c:v>1180.7364803916842</c:v>
                </c:pt>
                <c:pt idx="449">
                  <c:v>1190.4478172462782</c:v>
                </c:pt>
                <c:pt idx="450">
                  <c:v>1200.0242568828603</c:v>
                </c:pt>
                <c:pt idx="451">
                  <c:v>1209.4668383037028</c:v>
                </c:pt>
                <c:pt idx="452">
                  <c:v>1218.7765764886051</c:v>
                </c:pt>
                <c:pt idx="453">
                  <c:v>1227.9544629973373</c:v>
                </c:pt>
                <c:pt idx="454">
                  <c:v>1237.0014665512708</c:v>
                </c:pt>
                <c:pt idx="455">
                  <c:v>1245.9185335950233</c:v>
                </c:pt>
                <c:pt idx="456">
                  <c:v>1254.7065888389029</c:v>
                </c:pt>
                <c:pt idx="457">
                  <c:v>1263.366535782905</c:v>
                </c:pt>
                <c:pt idx="458">
                  <c:v>1271.8992572229745</c:v>
                </c:pt>
                <c:pt idx="459">
                  <c:v>1280.3056157402184</c:v>
                </c:pt>
                <c:pt idx="460">
                  <c:v>1288.586454173718</c:v>
                </c:pt>
                <c:pt idx="461">
                  <c:v>1296.7425960775645</c:v>
                </c:pt>
                <c:pt idx="462">
                  <c:v>1304.7748461627093</c:v>
                </c:pt>
                <c:pt idx="463">
                  <c:v>1312.6839907241972</c:v>
                </c:pt>
                <c:pt idx="464">
                  <c:v>1320.470798054324</c:v>
                </c:pt>
                <c:pt idx="465">
                  <c:v>1328.1360188422348</c:v>
                </c:pt>
                <c:pt idx="466">
                  <c:v>1335.6803865604588</c:v>
                </c:pt>
                <c:pt idx="467">
                  <c:v>1343.1046178388526</c:v>
                </c:pt>
                <c:pt idx="468">
                  <c:v>1350.4094128264042</c:v>
                </c:pt>
                <c:pt idx="469">
                  <c:v>1357.5954555413316</c:v>
                </c:pt>
                <c:pt idx="470">
                  <c:v>1364.6634142098881</c:v>
                </c:pt>
                <c:pt idx="471">
                  <c:v>1371.6139415942719</c:v>
                </c:pt>
                <c:pt idx="472">
                  <c:v>1378.4476753100193</c:v>
                </c:pt>
                <c:pt idx="473">
                  <c:v>1385.1652381332449</c:v>
                </c:pt>
                <c:pt idx="474">
                  <c:v>1391.7672382980757</c:v>
                </c:pt>
                <c:pt idx="475">
                  <c:v>1398.2542697846154</c:v>
                </c:pt>
                <c:pt idx="476">
                  <c:v>1404.6269125977569</c:v>
                </c:pt>
                <c:pt idx="477">
                  <c:v>1410.8857330371502</c:v>
                </c:pt>
                <c:pt idx="478">
                  <c:v>1417.0312839586193</c:v>
                </c:pt>
                <c:pt idx="479">
                  <c:v>1423.0641050273132</c:v>
                </c:pt>
                <c:pt idx="480">
                  <c:v>1428.9847229628592</c:v>
                </c:pt>
                <c:pt idx="481">
                  <c:v>1434.7936517767803</c:v>
                </c:pt>
                <c:pt idx="482">
                  <c:v>1440.4913930024272</c:v>
                </c:pt>
                <c:pt idx="483">
                  <c:v>1446.0784359176666</c:v>
                </c:pt>
                <c:pt idx="484">
                  <c:v>1451.5552577605542</c:v>
                </c:pt>
                <c:pt idx="485">
                  <c:v>1456.9223239382197</c:v>
                </c:pt>
                <c:pt idx="486">
                  <c:v>1462.1800882291759</c:v>
                </c:pt>
                <c:pt idx="487">
                  <c:v>1467.3289929792591</c:v>
                </c:pt>
                <c:pt idx="488">
                  <c:v>1472.3694692914037</c:v>
                </c:pt>
                <c:pt idx="489">
                  <c:v>1477.3019372094404</c:v>
                </c:pt>
                <c:pt idx="490">
                  <c:v>1482.12680589611</c:v>
                </c:pt>
                <c:pt idx="491">
                  <c:v>1486.8444738054689</c:v>
                </c:pt>
                <c:pt idx="492">
                  <c:v>1491.4553288498685</c:v>
                </c:pt>
                <c:pt idx="493">
                  <c:v>1495.9597485616762</c:v>
                </c:pt>
                <c:pt idx="494">
                  <c:v>1500.3581002499068</c:v>
                </c:pt>
                <c:pt idx="495">
                  <c:v>1504.6507411519306</c:v>
                </c:pt>
                <c:pt idx="496">
                  <c:v>1508.8380185804156</c:v>
                </c:pt>
                <c:pt idx="497">
                  <c:v>1512.9202700656681</c:v>
                </c:pt>
                <c:pt idx="498">
                  <c:v>1516.8978234935262</c:v>
                </c:pt>
                <c:pt idx="499">
                  <c:v>1520.7709972389648</c:v>
                </c:pt>
                <c:pt idx="500">
                  <c:v>1524.5401002955725</c:v>
                </c:pt>
                <c:pt idx="501">
                  <c:v>1528.2054324010578</c:v>
                </c:pt>
                <c:pt idx="502">
                  <c:v>1531.7672841589506</c:v>
                </c:pt>
                <c:pt idx="503">
                  <c:v>1535.2259371566652</c:v>
                </c:pt>
                <c:pt idx="504">
                  <c:v>1538.5816640801013</c:v>
                </c:pt>
                <c:pt idx="505">
                  <c:v>1541.8347288249654</c:v>
                </c:pt>
                <c:pt idx="506">
                  <c:v>1544.9853866050082</c:v>
                </c:pt>
                <c:pt idx="507">
                  <c:v>1548.0338840573879</c:v>
                </c:pt>
                <c:pt idx="508">
                  <c:v>1550.980459345386</c:v>
                </c:pt>
                <c:pt idx="509">
                  <c:v>1553.8253422587272</c:v>
                </c:pt>
                <c:pt idx="510">
                  <c:v>1556.5687543117826</c:v>
                </c:pt>
                <c:pt idx="511">
                  <c:v>1559.2109088399668</c:v>
                </c:pt>
                <c:pt idx="512">
                  <c:v>1561.7520110946868</c:v>
                </c:pt>
                <c:pt idx="513">
                  <c:v>1564.1922583372518</c:v>
                </c:pt>
                <c:pt idx="514">
                  <c:v>1566.5318399322139</c:v>
                </c:pt>
                <c:pt idx="515">
                  <c:v>1568.7709374406902</c:v>
                </c:pt>
                <c:pt idx="516">
                  <c:v>1570.9097247143147</c:v>
                </c:pt>
                <c:pt idx="517">
                  <c:v>1572.9483679905788</c:v>
                </c:pt>
                <c:pt idx="518">
                  <c:v>1574.8870259904668</c:v>
                </c:pt>
                <c:pt idx="519">
                  <c:v>1576.7258500194598</c:v>
                </c:pt>
                <c:pt idx="520">
                  <c:v>1578.4649840731915</c:v>
                </c:pt>
                <c:pt idx="521">
                  <c:v>1580.1045649492842</c:v>
                </c:pt>
                <c:pt idx="522">
                  <c:v>1581.6447223671933</c:v>
                </c:pt>
                <c:pt idx="523">
                  <c:v>1583.0855790982318</c:v>
                </c:pt>
                <c:pt idx="524">
                  <c:v>1584.4272511083532</c:v>
                </c:pt>
                <c:pt idx="525">
                  <c:v>1585.6698477167274</c:v>
                </c:pt>
                <c:pt idx="526">
                  <c:v>1586.8134717736511</c:v>
                </c:pt>
                <c:pt idx="527">
                  <c:v>1587.8582198618694</c:v>
                </c:pt>
                <c:pt idx="528">
                  <c:v>1588.8041825259133</c:v>
                </c:pt>
                <c:pt idx="529">
                  <c:v>1589.6514445345299</c:v>
                </c:pt>
                <c:pt idx="530">
                  <c:v>1590.400085181604</c:v>
                </c:pt>
                <c:pt idx="531">
                  <c:v>1591.0501786310406</c:v>
                </c:pt>
                <c:pt idx="532">
                  <c:v>1591.6017943107449</c:v>
                </c:pt>
                <c:pt idx="533">
                  <c:v>1592.0549973599602</c:v>
                </c:pt>
                <c:pt idx="534">
                  <c:v>1592.4098491326515</c:v>
                </c:pt>
                <c:pt idx="535">
                  <c:v>1592.6664077572952</c:v>
                </c:pt>
                <c:pt idx="536">
                  <c:v>1592.8247287503809</c:v>
                </c:pt>
                <c:pt idx="537">
                  <c:v>1592.8848656773607</c:v>
                </c:pt>
                <c:pt idx="538">
                  <c:v>1592.8468708510761</c:v>
                </c:pt>
                <c:pt idx="539">
                  <c:v>1592.710796054366</c:v>
                </c:pt>
                <c:pt idx="540">
                  <c:v>1592.4766932711818</c:v>
                </c:pt>
                <c:pt idx="541">
                  <c:v>1592.1446154095174</c:v>
                </c:pt>
                <c:pt idx="542">
                  <c:v>1591.7146170000328</c:v>
                </c:pt>
                <c:pt idx="543">
                  <c:v>1591.1867548562786</c:v>
                </c:pt>
                <c:pt idx="544">
                  <c:v>1590.5610886855379</c:v>
                </c:pt>
                <c:pt idx="545">
                  <c:v>1589.8376816429675</c:v>
                </c:pt>
                <c:pt idx="546">
                  <c:v>1589.0166008253866</c:v>
                </c:pt>
                <c:pt idx="547">
                  <c:v>1588.0979177042952</c:v>
                </c:pt>
                <c:pt idx="548">
                  <c:v>1587.0817085002618</c:v>
                </c:pt>
                <c:pt idx="549">
                  <c:v>1585.9680545026024</c:v>
                </c:pt>
                <c:pt idx="550">
                  <c:v>1584.7570423393342</c:v>
                </c:pt>
                <c:pt idx="551">
                  <c:v>1583.4487642028532</c:v>
                </c:pt>
                <c:pt idx="552">
                  <c:v>1582.0433180368077</c:v>
                </c:pt>
                <c:pt idx="553">
                  <c:v>1580.5408076893648</c:v>
                </c:pt>
                <c:pt idx="554">
                  <c:v>1578.9413430376242</c:v>
                </c:pt>
                <c:pt idx="555">
                  <c:v>1577.2450400873997</c:v>
                </c:pt>
                <c:pt idx="556">
                  <c:v>1575.4520210520507</c:v>
                </c:pt>
                <c:pt idx="557">
                  <c:v>1573.5624144135168</c:v>
                </c:pt>
                <c:pt idx="558">
                  <c:v>1571.5763549682363</c:v>
                </c:pt>
                <c:pt idx="559">
                  <c:v>1569.4939838602018</c:v>
                </c:pt>
                <c:pt idx="560">
                  <c:v>1567.3154486030382</c:v>
                </c:pt>
                <c:pt idx="561">
                  <c:v>1565.0409030926824</c:v>
                </c:pt>
                <c:pt idx="562">
                  <c:v>1562.6705076119686</c:v>
                </c:pt>
                <c:pt idx="563">
                  <c:v>1560.2044288282166</c:v>
                </c:pt>
                <c:pt idx="564">
                  <c:v>1557.6428397847255</c:v>
                </c:pt>
                <c:pt idx="565">
                  <c:v>1554.985919886931</c:v>
                </c:pt>
                <c:pt idx="566">
                  <c:v>1552.2338548838559</c:v>
                </c:pt>
                <c:pt idx="567">
                  <c:v>1549.3868368453836</c:v>
                </c:pt>
                <c:pt idx="568">
                  <c:v>1546.4450641357967</c:v>
                </c:pt>
                <c:pt idx="569">
                  <c:v>1543.4087413839522</c:v>
                </c:pt>
                <c:pt idx="570">
                  <c:v>1540.2780794504142</c:v>
                </c:pt>
                <c:pt idx="571">
                  <c:v>1537.0532953918052</c:v>
                </c:pt>
                <c:pt idx="572">
                  <c:v>1533.7346124226115</c:v>
                </c:pt>
                <c:pt idx="573">
                  <c:v>1530.3222598746349</c:v>
                </c:pt>
                <c:pt idx="574">
                  <c:v>1526.8164731542631</c:v>
                </c:pt>
                <c:pt idx="575">
                  <c:v>1523.2174936977035</c:v>
                </c:pt>
                <c:pt idx="576">
                  <c:v>1519.5255689243108</c:v>
                </c:pt>
                <c:pt idx="577">
                  <c:v>1515.740952188122</c:v>
                </c:pt>
                <c:pt idx="578">
                  <c:v>1511.8639027276972</c:v>
                </c:pt>
                <c:pt idx="579">
                  <c:v>1507.8946856143568</c:v>
                </c:pt>
                <c:pt idx="580">
                  <c:v>1503.8335716988954</c:v>
                </c:pt>
                <c:pt idx="581">
                  <c:v>1499.6808375568451</c:v>
                </c:pt>
                <c:pt idx="582">
                  <c:v>1495.4367654323542</c:v>
                </c:pt>
                <c:pt idx="583">
                  <c:v>1491.1016431807418</c:v>
                </c:pt>
                <c:pt idx="584">
                  <c:v>1486.6757642097862</c:v>
                </c:pt>
                <c:pt idx="585">
                  <c:v>1482.1594274197973</c:v>
                </c:pt>
                <c:pt idx="586">
                  <c:v>1477.5529371425243</c:v>
                </c:pt>
                <c:pt idx="587">
                  <c:v>1472.8566030789432</c:v>
                </c:pt>
                <c:pt idx="588">
                  <c:v>1468.0707402359697</c:v>
                </c:pt>
                <c:pt idx="589">
                  <c:v>1463.1956688621385</c:v>
                </c:pt>
                <c:pt idx="590">
                  <c:v>1458.2317143822895</c:v>
                </c:pt>
                <c:pt idx="591">
                  <c:v>1453.1792073312995</c:v>
                </c:pt>
                <c:pt idx="592">
                  <c:v>1448.0384832868974</c:v>
                </c:pt>
                <c:pt idx="593">
                  <c:v>1442.8098828015993</c:v>
                </c:pt>
                <c:pt idx="594">
                  <c:v>1437.4937513337979</c:v>
                </c:pt>
                <c:pt idx="595">
                  <c:v>1432.0904391780427</c:v>
                </c:pt>
                <c:pt idx="596">
                  <c:v>1426.6003013945433</c:v>
                </c:pt>
                <c:pt idx="597">
                  <c:v>1421.0236977379298</c:v>
                </c:pt>
                <c:pt idx="598">
                  <c:v>1415.3609925853034</c:v>
                </c:pt>
                <c:pt idx="599">
                  <c:v>1409.6125548636094</c:v>
                </c:pt>
                <c:pt idx="600">
                  <c:v>1403.778757976364</c:v>
                </c:pt>
                <c:pt idx="601">
                  <c:v>1397.8599797297663</c:v>
                </c:pt>
                <c:pt idx="602">
                  <c:v>1391.8566022582283</c:v>
                </c:pt>
                <c:pt idx="603">
                  <c:v>1385.7690119493514</c:v>
                </c:pt>
                <c:pt idx="604">
                  <c:v>1379.5975993683812</c:v>
                </c:pt>
                <c:pt idx="605">
                  <c:v>1373.3427591821721</c:v>
                </c:pt>
                <c:pt idx="606">
                  <c:v>1367.0048900826882</c:v>
                </c:pt>
                <c:pt idx="607">
                  <c:v>1360.5843947100743</c:v>
                </c:pt>
                <c:pt idx="608">
                  <c:v>1354.081679575324</c:v>
                </c:pt>
                <c:pt idx="609">
                  <c:v>1347.4971549825741</c:v>
                </c:pt>
                <c:pt idx="610">
                  <c:v>1340.8312349510568</c:v>
                </c:pt>
                <c:pt idx="611">
                  <c:v>1334.084337136735</c:v>
                </c:pt>
                <c:pt idx="612">
                  <c:v>1327.2568827536529</c:v>
                </c:pt>
                <c:pt idx="613">
                  <c:v>1320.3492964950271</c:v>
                </c:pt>
                <c:pt idx="614">
                  <c:v>1313.3620064541085</c:v>
                </c:pt>
                <c:pt idx="615">
                  <c:v>1306.295444044842</c:v>
                </c:pt>
                <c:pt idx="616">
                  <c:v>1299.1500439223519</c:v>
                </c:pt>
                <c:pt idx="617">
                  <c:v>1291.9262439032798</c:v>
                </c:pt>
                <c:pt idx="618">
                  <c:v>1284.6244848860044</c:v>
                </c:pt>
                <c:pt idx="619">
                  <c:v>1277.2452107707661</c:v>
                </c:pt>
                <c:pt idx="620">
                  <c:v>1269.7888683797266</c:v>
                </c:pt>
                <c:pt idx="621">
                  <c:v>1262.2559073769892</c:v>
                </c:pt>
                <c:pt idx="622">
                  <c:v>1254.6467801886038</c:v>
                </c:pt>
                <c:pt idx="623">
                  <c:v>1246.9619419225851</c:v>
                </c:pt>
                <c:pt idx="624">
                  <c:v>1239.2018502889675</c:v>
                </c:pt>
                <c:pt idx="625">
                  <c:v>1231.3669655199242</c:v>
                </c:pt>
                <c:pt idx="626">
                  <c:v>1223.457750289971</c:v>
                </c:pt>
                <c:pt idx="627">
                  <c:v>1215.4746696362863</c:v>
                </c:pt>
                <c:pt idx="628">
                  <c:v>1207.4181908791631</c:v>
                </c:pt>
                <c:pt idx="629">
                  <c:v>1199.2887835426257</c:v>
                </c:pt>
                <c:pt idx="630">
                  <c:v>1191.0869192752264</c:v>
                </c:pt>
                <c:pt idx="631">
                  <c:v>1182.8130717710524</c:v>
                </c:pt>
                <c:pt idx="632">
                  <c:v>1174.467716690961</c:v>
                </c:pt>
                <c:pt idx="633">
                  <c:v>1166.0513315840678</c:v>
                </c:pt>
                <c:pt idx="634">
                  <c:v>1157.5643958095104</c:v>
                </c:pt>
                <c:pt idx="635">
                  <c:v>1149.0073904585065</c:v>
                </c:pt>
                <c:pt idx="636">
                  <c:v>1140.3807982767325</c:v>
                </c:pt>
                <c:pt idx="637">
                  <c:v>1131.6851035870388</c:v>
                </c:pt>
                <c:pt idx="638">
                  <c:v>1122.9207922125261</c:v>
                </c:pt>
                <c:pt idx="639">
                  <c:v>1114.0883514000002</c:v>
                </c:pt>
                <c:pt idx="640">
                  <c:v>1105.1882697438273</c:v>
                </c:pt>
                <c:pt idx="641">
                  <c:v>1096.2210371102076</c:v>
                </c:pt>
                <c:pt idx="642">
                  <c:v>1087.1871445618872</c:v>
                </c:pt>
                <c:pt idx="643">
                  <c:v>1078.0870842833267</c:v>
                </c:pt>
                <c:pt idx="644">
                  <c:v>1068.9213495063434</c:v>
                </c:pt>
                <c:pt idx="645">
                  <c:v>1059.6904344362472</c:v>
                </c:pt>
                <c:pt idx="646">
                  <c:v>1050.3948341784856</c:v>
                </c:pt>
                <c:pt idx="647">
                  <c:v>1041.0350446658153</c:v>
                </c:pt>
                <c:pt idx="648">
                  <c:v>1031.6115625860173</c:v>
                </c:pt>
                <c:pt idx="649">
                  <c:v>1022.1248853101699</c:v>
                </c:pt>
                <c:pt idx="650">
                  <c:v>1012.575510821498</c:v>
                </c:pt>
                <c:pt idx="651">
                  <c:v>1002.9639376448107</c:v>
                </c:pt>
                <c:pt idx="652">
                  <c:v>993.29066477654419</c:v>
                </c:pt>
                <c:pt idx="653">
                  <c:v>983.55619161542302</c:v>
                </c:pt>
                <c:pt idx="654">
                  <c:v>973.76101789375389</c:v>
                </c:pt>
                <c:pt idx="655">
                  <c:v>963.9056436093656</c:v>
                </c:pt>
                <c:pt idx="656">
                  <c:v>953.99056895820729</c:v>
                </c:pt>
                <c:pt idx="657">
                  <c:v>944.01629426761849</c:v>
                </c:pt>
                <c:pt idx="658">
                  <c:v>933.98331993028205</c:v>
                </c:pt>
                <c:pt idx="659">
                  <c:v>923.89214633887218</c:v>
                </c:pt>
                <c:pt idx="660">
                  <c:v>913.74327382140814</c:v>
                </c:pt>
                <c:pt idx="661">
                  <c:v>903.53720257732516</c:v>
                </c:pt>
                <c:pt idx="662">
                  <c:v>893.2744326142722</c:v>
                </c:pt>
                <c:pt idx="663">
                  <c:v>882.95546368564612</c:v>
                </c:pt>
                <c:pt idx="664">
                  <c:v>872.58079522887238</c:v>
                </c:pt>
                <c:pt idx="665">
                  <c:v>862.15092630444065</c:v>
                </c:pt>
                <c:pt idx="666">
                  <c:v>851.66635553570438</c:v>
                </c:pt>
                <c:pt idx="667">
                  <c:v>841.12758104945158</c:v>
                </c:pt>
                <c:pt idx="668">
                  <c:v>830.53510041725531</c:v>
                </c:pt>
                <c:pt idx="669">
                  <c:v>819.88941059761066</c:v>
                </c:pt>
                <c:pt idx="670">
                  <c:v>809.19100787886487</c:v>
                </c:pt>
                <c:pt idx="671">
                  <c:v>798.44038782294763</c:v>
                </c:pt>
                <c:pt idx="672">
                  <c:v>787.63804520990686</c:v>
                </c:pt>
                <c:pt idx="673">
                  <c:v>776.78447398325591</c:v>
                </c:pt>
                <c:pt idx="674">
                  <c:v>765.88016719613665</c:v>
                </c:pt>
                <c:pt idx="675">
                  <c:v>754.92561695830489</c:v>
                </c:pt>
                <c:pt idx="676">
                  <c:v>743.92131438394006</c:v>
                </c:pt>
                <c:pt idx="677">
                  <c:v>732.86774954028544</c:v>
                </c:pt>
                <c:pt idx="678">
                  <c:v>721.7654113971206</c:v>
                </c:pt>
                <c:pt idx="679">
                  <c:v>710.61478777707066</c:v>
                </c:pt>
                <c:pt idx="680">
                  <c:v>699.41636530675441</c:v>
                </c:pt>
                <c:pt idx="681">
                  <c:v>688.17062936877369</c:v>
                </c:pt>
                <c:pt idx="682">
                  <c:v>676.87806405454683</c:v>
                </c:pt>
                <c:pt idx="683">
                  <c:v>665.53915211798653</c:v>
                </c:pt>
                <c:pt idx="684">
                  <c:v>654.15437493002503</c:v>
                </c:pt>
                <c:pt idx="685">
                  <c:v>642.72421243398628</c:v>
                </c:pt>
                <c:pt idx="686">
                  <c:v>631.24914310180691</c:v>
                </c:pt>
                <c:pt idx="687">
                  <c:v>619.72964389110473</c:v>
                </c:pt>
                <c:pt idx="688">
                  <c:v>608.16619020309668</c:v>
                </c:pt>
                <c:pt idx="689">
                  <c:v>596.55925584136423</c:v>
                </c:pt>
                <c:pt idx="690">
                  <c:v>584.90931297146608</c:v>
                </c:pt>
                <c:pt idx="691">
                  <c:v>573.2168320813978</c:v>
                </c:pt>
                <c:pt idx="692">
                  <c:v>561.48228194289595</c:v>
                </c:pt>
                <c:pt idx="693">
                  <c:v>549.70612957358617</c:v>
                </c:pt>
                <c:pt idx="694">
                  <c:v>537.88884019997215</c:v>
                </c:pt>
                <c:pt idx="695">
                  <c:v>526.03087722126452</c:v>
                </c:pt>
                <c:pt idx="696">
                  <c:v>514.13270217404636</c:v>
                </c:pt>
                <c:pt idx="697">
                  <c:v>502.19477469777269</c:v>
                </c:pt>
                <c:pt idx="698">
                  <c:v>490.2175525011009</c:v>
                </c:pt>
                <c:pt idx="699">
                  <c:v>478.20149132904936</c:v>
                </c:pt>
                <c:pt idx="700">
                  <c:v>466.14704493097975</c:v>
                </c:pt>
                <c:pt idx="701">
                  <c:v>454.05466502939987</c:v>
                </c:pt>
                <c:pt idx="702">
                  <c:v>441.92480128958294</c:v>
                </c:pt>
                <c:pt idx="703">
                  <c:v>429.75790128999876</c:v>
                </c:pt>
                <c:pt idx="704">
                  <c:v>417.55441049355227</c:v>
                </c:pt>
                <c:pt idx="705">
                  <c:v>405.31477221962513</c:v>
                </c:pt>
                <c:pt idx="706">
                  <c:v>393.03942761691508</c:v>
                </c:pt>
                <c:pt idx="707">
                  <c:v>380.72881563706756</c:v>
                </c:pt>
                <c:pt idx="708">
                  <c:v>368.38337300909512</c:v>
                </c:pt>
                <c:pt idx="709">
                  <c:v>356.00353421457817</c:v>
                </c:pt>
                <c:pt idx="710">
                  <c:v>343.58973146364167</c:v>
                </c:pt>
                <c:pt idx="711">
                  <c:v>331.14239467170205</c:v>
                </c:pt>
                <c:pt idx="712">
                  <c:v>318.66195143697769</c:v>
                </c:pt>
                <c:pt idx="713">
                  <c:v>306.14882701875717</c:v>
                </c:pt>
                <c:pt idx="714">
                  <c:v>293.60344431641857</c:v>
                </c:pt>
                <c:pt idx="715">
                  <c:v>281.02622384919334</c:v>
                </c:pt>
                <c:pt idx="716">
                  <c:v>268.41758373666784</c:v>
                </c:pt>
                <c:pt idx="717">
                  <c:v>255.77793968001561</c:v>
                </c:pt>
                <c:pt idx="718">
                  <c:v>243.10770494395373</c:v>
                </c:pt>
                <c:pt idx="719">
                  <c:v>230.40729033941557</c:v>
                </c:pt>
                <c:pt idx="720">
                  <c:v>217.67710420693271</c:v>
                </c:pt>
                <c:pt idx="721">
                  <c:v>204.91755240071916</c:v>
                </c:pt>
                <c:pt idx="722">
                  <c:v>192.12903827344942</c:v>
                </c:pt>
                <c:pt idx="723">
                  <c:v>179.31196266172367</c:v>
                </c:pt>
                <c:pt idx="724">
                  <c:v>166.46672387221156</c:v>
                </c:pt>
                <c:pt idx="725">
                  <c:v>153.59371766846726</c:v>
                </c:pt>
                <c:pt idx="726">
                  <c:v>140.69333725840767</c:v>
                </c:pt>
                <c:pt idx="727">
                  <c:v>127.76597328244571</c:v>
                </c:pt>
                <c:pt idx="728">
                  <c:v>114.81201380227068</c:v>
                </c:pt>
                <c:pt idx="729">
                  <c:v>101.83184429026741</c:v>
                </c:pt>
                <c:pt idx="730">
                  <c:v>88.825847619566105</c:v>
                </c:pt>
                <c:pt idx="731">
                  <c:v>75.794404054714477</c:v>
                </c:pt>
                <c:pt idx="732">
                  <c:v>62.737891242963798</c:v>
                </c:pt>
                <c:pt idx="733">
                  <c:v>49.656684206160456</c:v>
                </c:pt>
                <c:pt idx="734">
                  <c:v>36.551155333234618</c:v>
                </c:pt>
                <c:pt idx="735">
                  <c:v>23.421674373277419</c:v>
                </c:pt>
                <c:pt idx="736">
                  <c:v>10.268608429198123</c:v>
                </c:pt>
                <c:pt idx="737">
                  <c:v>-2.907678048047261</c:v>
                </c:pt>
                <c:pt idx="738">
                  <c:v>-2.9208658653494415</c:v>
                </c:pt>
                <c:pt idx="739">
                  <c:v>-2.9340537053299505</c:v>
                </c:pt>
                <c:pt idx="740">
                  <c:v>-2.9472415679884314</c:v>
                </c:pt>
                <c:pt idx="741">
                  <c:v>-2.9604294533245268</c:v>
                </c:pt>
                <c:pt idx="742">
                  <c:v>-2.97361736133788</c:v>
                </c:pt>
                <c:pt idx="743">
                  <c:v>-2.9868052920281336</c:v>
                </c:pt>
                <c:pt idx="744">
                  <c:v>-2.999993245394931</c:v>
                </c:pt>
                <c:pt idx="745">
                  <c:v>-3.0131812214379146</c:v>
                </c:pt>
                <c:pt idx="746">
                  <c:v>-3.0263692201567274</c:v>
                </c:pt>
                <c:pt idx="747">
                  <c:v>-3.0395572415510124</c:v>
                </c:pt>
                <c:pt idx="748">
                  <c:v>-3.0527452856204129</c:v>
                </c:pt>
                <c:pt idx="749">
                  <c:v>-3.0659333523645715</c:v>
                </c:pt>
                <c:pt idx="750">
                  <c:v>-3.0791214417831312</c:v>
                </c:pt>
                <c:pt idx="751">
                  <c:v>-3.0923095538757348</c:v>
                </c:pt>
                <c:pt idx="752">
                  <c:v>-3.1054976886420254</c:v>
                </c:pt>
                <c:pt idx="753">
                  <c:v>-3.1186858460816458</c:v>
                </c:pt>
                <c:pt idx="754">
                  <c:v>-3.131874026194239</c:v>
                </c:pt>
                <c:pt idx="755">
                  <c:v>-3.1450622289794485</c:v>
                </c:pt>
                <c:pt idx="756">
                  <c:v>-3.1582504544369168</c:v>
                </c:pt>
                <c:pt idx="757">
                  <c:v>-3.1714387025662867</c:v>
                </c:pt>
                <c:pt idx="758">
                  <c:v>-3.1846269733672012</c:v>
                </c:pt>
                <c:pt idx="759">
                  <c:v>-3.1978152668393038</c:v>
                </c:pt>
                <c:pt idx="760">
                  <c:v>-3.211003582982237</c:v>
                </c:pt>
                <c:pt idx="761">
                  <c:v>-3.2241919217956436</c:v>
                </c:pt>
                <c:pt idx="762">
                  <c:v>-3.2373802832791672</c:v>
                </c:pt>
                <c:pt idx="763">
                  <c:v>-3.2505686674324501</c:v>
                </c:pt>
                <c:pt idx="764">
                  <c:v>-3.2637570742551358</c:v>
                </c:pt>
                <c:pt idx="765">
                  <c:v>-3.2769455037468669</c:v>
                </c:pt>
                <c:pt idx="766">
                  <c:v>-3.2901339559072866</c:v>
                </c:pt>
                <c:pt idx="767">
                  <c:v>-3.303322430736038</c:v>
                </c:pt>
                <c:pt idx="768">
                  <c:v>-3.3165109282327641</c:v>
                </c:pt>
                <c:pt idx="769">
                  <c:v>-3.3296994483971076</c:v>
                </c:pt>
                <c:pt idx="770">
                  <c:v>-3.3428879912287117</c:v>
                </c:pt>
                <c:pt idx="771">
                  <c:v>-3.3560765567272193</c:v>
                </c:pt>
                <c:pt idx="772">
                  <c:v>-3.3692651448922737</c:v>
                </c:pt>
                <c:pt idx="773">
                  <c:v>-3.3824537557235175</c:v>
                </c:pt>
                <c:pt idx="774">
                  <c:v>-3.395642389220594</c:v>
                </c:pt>
                <c:pt idx="775">
                  <c:v>-3.4088310453831459</c:v>
                </c:pt>
                <c:pt idx="776">
                  <c:v>-3.4220197242108163</c:v>
                </c:pt>
                <c:pt idx="777">
                  <c:v>-3.4352084257032485</c:v>
                </c:pt>
                <c:pt idx="778">
                  <c:v>-3.4483971498600852</c:v>
                </c:pt>
                <c:pt idx="779">
                  <c:v>-3.4615858966809698</c:v>
                </c:pt>
                <c:pt idx="780">
                  <c:v>-3.474774666165545</c:v>
                </c:pt>
                <c:pt idx="781">
                  <c:v>-3.487963458313454</c:v>
                </c:pt>
                <c:pt idx="782">
                  <c:v>-3.5011522731243394</c:v>
                </c:pt>
                <c:pt idx="783">
                  <c:v>-3.5143411105978446</c:v>
                </c:pt>
                <c:pt idx="784">
                  <c:v>-3.527529970733613</c:v>
                </c:pt>
                <c:pt idx="785">
                  <c:v>-3.540718853531287</c:v>
                </c:pt>
                <c:pt idx="786">
                  <c:v>-3.5539077589905101</c:v>
                </c:pt>
                <c:pt idx="787">
                  <c:v>-3.5670966871109249</c:v>
                </c:pt>
                <c:pt idx="788">
                  <c:v>-3.5802856378921746</c:v>
                </c:pt>
                <c:pt idx="789">
                  <c:v>-3.5934746113339022</c:v>
                </c:pt>
                <c:pt idx="790">
                  <c:v>-3.6066636074357512</c:v>
                </c:pt>
                <c:pt idx="791">
                  <c:v>-3.6198526261973645</c:v>
                </c:pt>
                <c:pt idx="792">
                  <c:v>-3.6330416676183845</c:v>
                </c:pt>
                <c:pt idx="793">
                  <c:v>-3.6462307316984552</c:v>
                </c:pt>
                <c:pt idx="794">
                  <c:v>-3.6594198184372191</c:v>
                </c:pt>
                <c:pt idx="795">
                  <c:v>-3.6726089278343195</c:v>
                </c:pt>
                <c:pt idx="796">
                  <c:v>-3.6857980598893989</c:v>
                </c:pt>
                <c:pt idx="797">
                  <c:v>-3.6989872146021012</c:v>
                </c:pt>
                <c:pt idx="798">
                  <c:v>-3.7121763919720689</c:v>
                </c:pt>
                <c:pt idx="799">
                  <c:v>-3.7253655919989455</c:v>
                </c:pt>
                <c:pt idx="800">
                  <c:v>-3.7385548146823737</c:v>
                </c:pt>
                <c:pt idx="801">
                  <c:v>-3.7517440600219967</c:v>
                </c:pt>
                <c:pt idx="802">
                  <c:v>-3.7649333280174573</c:v>
                </c:pt>
                <c:pt idx="803">
                  <c:v>-3.7781226186683989</c:v>
                </c:pt>
                <c:pt idx="804">
                  <c:v>-3.7913119319744646</c:v>
                </c:pt>
                <c:pt idx="805">
                  <c:v>-3.8045012679352976</c:v>
                </c:pt>
                <c:pt idx="806">
                  <c:v>-3.817690626550541</c:v>
                </c:pt>
                <c:pt idx="807">
                  <c:v>-3.8308800078198377</c:v>
                </c:pt>
                <c:pt idx="808">
                  <c:v>-3.8440694117428307</c:v>
                </c:pt>
                <c:pt idx="809">
                  <c:v>-3.8572588383191633</c:v>
                </c:pt>
                <c:pt idx="810">
                  <c:v>-3.8704482875484785</c:v>
                </c:pt>
                <c:pt idx="811">
                  <c:v>-3.8836377594304197</c:v>
                </c:pt>
                <c:pt idx="812">
                  <c:v>-3.8968272539646294</c:v>
                </c:pt>
                <c:pt idx="813">
                  <c:v>-3.9100167711507514</c:v>
                </c:pt>
                <c:pt idx="814">
                  <c:v>-3.9232063109884283</c:v>
                </c:pt>
                <c:pt idx="815">
                  <c:v>-3.9363958734773035</c:v>
                </c:pt>
                <c:pt idx="816">
                  <c:v>-3.9495854586170198</c:v>
                </c:pt>
                <c:pt idx="817">
                  <c:v>-3.9627750664072208</c:v>
                </c:pt>
                <c:pt idx="818">
                  <c:v>-3.9759646968475493</c:v>
                </c:pt>
                <c:pt idx="819">
                  <c:v>-3.9891543499376483</c:v>
                </c:pt>
                <c:pt idx="820">
                  <c:v>-4.0023440256771616</c:v>
                </c:pt>
                <c:pt idx="821">
                  <c:v>-4.0155337240657314</c:v>
                </c:pt>
                <c:pt idx="822">
                  <c:v>-4.0287234451030018</c:v>
                </c:pt>
                <c:pt idx="823">
                  <c:v>-4.0419131887886151</c:v>
                </c:pt>
                <c:pt idx="824">
                  <c:v>-4.0551029551222149</c:v>
                </c:pt>
                <c:pt idx="825">
                  <c:v>-4.0682927441034442</c:v>
                </c:pt>
                <c:pt idx="826">
                  <c:v>-4.0814825557319461</c:v>
                </c:pt>
                <c:pt idx="827">
                  <c:v>-4.0946723900073634</c:v>
                </c:pt>
                <c:pt idx="828">
                  <c:v>-4.10786224692934</c:v>
                </c:pt>
                <c:pt idx="829">
                  <c:v>-4.1210521264975188</c:v>
                </c:pt>
                <c:pt idx="830">
                  <c:v>-4.1342420287115429</c:v>
                </c:pt>
                <c:pt idx="831">
                  <c:v>-4.1474319535710551</c:v>
                </c:pt>
                <c:pt idx="832">
                  <c:v>-4.1606219010756993</c:v>
                </c:pt>
                <c:pt idx="833">
                  <c:v>-4.1738118712251184</c:v>
                </c:pt>
                <c:pt idx="834">
                  <c:v>-4.1870018640189555</c:v>
                </c:pt>
                <c:pt idx="835">
                  <c:v>-4.2001918794568533</c:v>
                </c:pt>
                <c:pt idx="836">
                  <c:v>-4.2133819175384559</c:v>
                </c:pt>
                <c:pt idx="837">
                  <c:v>-4.2265719782634052</c:v>
                </c:pt>
                <c:pt idx="838">
                  <c:v>-4.2397620616313452</c:v>
                </c:pt>
                <c:pt idx="839">
                  <c:v>-4.2529521676419195</c:v>
                </c:pt>
                <c:pt idx="840">
                  <c:v>-4.2661422962947704</c:v>
                </c:pt>
                <c:pt idx="841">
                  <c:v>-4.2793324475895416</c:v>
                </c:pt>
                <c:pt idx="842">
                  <c:v>-4.292522621525876</c:v>
                </c:pt>
                <c:pt idx="843">
                  <c:v>-4.3057128181034177</c:v>
                </c:pt>
                <c:pt idx="844">
                  <c:v>-4.3189030373218085</c:v>
                </c:pt>
                <c:pt idx="845">
                  <c:v>-4.3320932791806923</c:v>
                </c:pt>
                <c:pt idx="846">
                  <c:v>-4.3452835436797121</c:v>
                </c:pt>
                <c:pt idx="847">
                  <c:v>-4.3584738308185118</c:v>
                </c:pt>
                <c:pt idx="848">
                  <c:v>-4.3716641405967334</c:v>
                </c:pt>
                <c:pt idx="849">
                  <c:v>-4.3848544730140206</c:v>
                </c:pt>
                <c:pt idx="850">
                  <c:v>-4.3980448280700175</c:v>
                </c:pt>
                <c:pt idx="851">
                  <c:v>-4.411235205764366</c:v>
                </c:pt>
                <c:pt idx="852">
                  <c:v>-4.42442560609671</c:v>
                </c:pt>
                <c:pt idx="853">
                  <c:v>-4.4376160290666933</c:v>
                </c:pt>
                <c:pt idx="854">
                  <c:v>-4.450806474673958</c:v>
                </c:pt>
                <c:pt idx="855">
                  <c:v>-4.4639969429181479</c:v>
                </c:pt>
                <c:pt idx="856">
                  <c:v>-4.4771874337989059</c:v>
                </c:pt>
                <c:pt idx="857">
                  <c:v>-4.4903779473158751</c:v>
                </c:pt>
                <c:pt idx="858">
                  <c:v>-4.5035684834686993</c:v>
                </c:pt>
                <c:pt idx="859">
                  <c:v>-4.5167590422570214</c:v>
                </c:pt>
                <c:pt idx="860">
                  <c:v>-4.5299496236804853</c:v>
                </c:pt>
                <c:pt idx="861">
                  <c:v>-4.5431402277387329</c:v>
                </c:pt>
                <c:pt idx="862">
                  <c:v>-4.5563308544314083</c:v>
                </c:pt>
                <c:pt idx="863">
                  <c:v>-4.5695215037581551</c:v>
                </c:pt>
                <c:pt idx="864">
                  <c:v>-4.5827121757186156</c:v>
                </c:pt>
                <c:pt idx="865">
                  <c:v>-4.5959028703124334</c:v>
                </c:pt>
                <c:pt idx="866">
                  <c:v>-4.6090935875392525</c:v>
                </c:pt>
                <c:pt idx="867">
                  <c:v>-4.6222843273987149</c:v>
                </c:pt>
                <c:pt idx="868">
                  <c:v>-4.6354750898904644</c:v>
                </c:pt>
                <c:pt idx="869">
                  <c:v>-4.648665875014145</c:v>
                </c:pt>
                <c:pt idx="870">
                  <c:v>-4.6618566827693995</c:v>
                </c:pt>
                <c:pt idx="871">
                  <c:v>-4.6750475131558709</c:v>
                </c:pt>
                <c:pt idx="872">
                  <c:v>-4.6882383661732021</c:v>
                </c:pt>
                <c:pt idx="873">
                  <c:v>-4.7014292418210371</c:v>
                </c:pt>
                <c:pt idx="874">
                  <c:v>-4.7146201400990186</c:v>
                </c:pt>
                <c:pt idx="875">
                  <c:v>-4.7278110610067907</c:v>
                </c:pt>
                <c:pt idx="876">
                  <c:v>-4.7410020045439953</c:v>
                </c:pt>
                <c:pt idx="877">
                  <c:v>-4.7541929707102772</c:v>
                </c:pt>
                <c:pt idx="878">
                  <c:v>-4.7673839595052785</c:v>
                </c:pt>
                <c:pt idx="879">
                  <c:v>-4.7805749709286429</c:v>
                </c:pt>
                <c:pt idx="880">
                  <c:v>-4.7937660049800144</c:v>
                </c:pt>
                <c:pt idx="881">
                  <c:v>-4.8069570616590349</c:v>
                </c:pt>
                <c:pt idx="882">
                  <c:v>-4.8201481409653493</c:v>
                </c:pt>
                <c:pt idx="883">
                  <c:v>-4.8333392428985995</c:v>
                </c:pt>
                <c:pt idx="884">
                  <c:v>-4.8465303674584295</c:v>
                </c:pt>
                <c:pt idx="885">
                  <c:v>-4.8597215146444821</c:v>
                </c:pt>
                <c:pt idx="886">
                  <c:v>-4.8729126844564012</c:v>
                </c:pt>
                <c:pt idx="887">
                  <c:v>-4.8861038768938299</c:v>
                </c:pt>
                <c:pt idx="888">
                  <c:v>-4.8992950919564118</c:v>
                </c:pt>
                <c:pt idx="889">
                  <c:v>-4.91248632964379</c:v>
                </c:pt>
                <c:pt idx="890">
                  <c:v>-4.9256775899556073</c:v>
                </c:pt>
                <c:pt idx="891">
                  <c:v>-4.9388688728915078</c:v>
                </c:pt>
                <c:pt idx="892">
                  <c:v>-4.9520601784511342</c:v>
                </c:pt>
                <c:pt idx="893">
                  <c:v>-4.9652515066341296</c:v>
                </c:pt>
                <c:pt idx="894">
                  <c:v>-4.9784428574401378</c:v>
                </c:pt>
                <c:pt idx="895">
                  <c:v>-4.9916342308688026</c:v>
                </c:pt>
                <c:pt idx="896">
                  <c:v>-5.0048256269197671</c:v>
                </c:pt>
                <c:pt idx="897">
                  <c:v>-5.018017045592674</c:v>
                </c:pt>
                <c:pt idx="898">
                  <c:v>-5.0312084868871674</c:v>
                </c:pt>
                <c:pt idx="899">
                  <c:v>-5.0443999508028901</c:v>
                </c:pt>
                <c:pt idx="900">
                  <c:v>-5.057591437339485</c:v>
                </c:pt>
                <c:pt idx="901">
                  <c:v>-5.0707829464965961</c:v>
                </c:pt>
                <c:pt idx="902">
                  <c:v>-5.0839744782738672</c:v>
                </c:pt>
                <c:pt idx="903">
                  <c:v>-5.0971660326709411</c:v>
                </c:pt>
                <c:pt idx="904">
                  <c:v>-5.110357609687461</c:v>
                </c:pt>
                <c:pt idx="905">
                  <c:v>-5.1235492093230706</c:v>
                </c:pt>
                <c:pt idx="906">
                  <c:v>-5.1367408315774128</c:v>
                </c:pt>
                <c:pt idx="907">
                  <c:v>-5.1499324764501315</c:v>
                </c:pt>
                <c:pt idx="908">
                  <c:v>-5.1631241439408697</c:v>
                </c:pt>
                <c:pt idx="909">
                  <c:v>-5.1763158340492712</c:v>
                </c:pt>
                <c:pt idx="910">
                  <c:v>-5.1895075467749789</c:v>
                </c:pt>
                <c:pt idx="911">
                  <c:v>-5.2026992821176368</c:v>
                </c:pt>
                <c:pt idx="912">
                  <c:v>-5.2158910400768876</c:v>
                </c:pt>
                <c:pt idx="913">
                  <c:v>-5.2290828206523745</c:v>
                </c:pt>
                <c:pt idx="914">
                  <c:v>-5.2422746238437412</c:v>
                </c:pt>
                <c:pt idx="915">
                  <c:v>-5.2554664496506316</c:v>
                </c:pt>
                <c:pt idx="916">
                  <c:v>-5.2686582980726886</c:v>
                </c:pt>
                <c:pt idx="917">
                  <c:v>-5.2818501691095552</c:v>
                </c:pt>
                <c:pt idx="918">
                  <c:v>-5.2950420627608752</c:v>
                </c:pt>
                <c:pt idx="919">
                  <c:v>-5.3082339790262925</c:v>
                </c:pt>
                <c:pt idx="920">
                  <c:v>-5.3214259179054499</c:v>
                </c:pt>
                <c:pt idx="921">
                  <c:v>-5.3346178793979906</c:v>
                </c:pt>
                <c:pt idx="922">
                  <c:v>-5.3478098635035582</c:v>
                </c:pt>
                <c:pt idx="923">
                  <c:v>-5.3610018702217968</c:v>
                </c:pt>
                <c:pt idx="924">
                  <c:v>-5.3741938995523491</c:v>
                </c:pt>
                <c:pt idx="925">
                  <c:v>-5.3873859514948581</c:v>
                </c:pt>
                <c:pt idx="926">
                  <c:v>-5.4005780260489678</c:v>
                </c:pt>
                <c:pt idx="927">
                  <c:v>-5.4137701232143218</c:v>
                </c:pt>
                <c:pt idx="928">
                  <c:v>-5.4269622429905633</c:v>
                </c:pt>
                <c:pt idx="929">
                  <c:v>-5.4401543853773351</c:v>
                </c:pt>
                <c:pt idx="930">
                  <c:v>-5.4533465503742811</c:v>
                </c:pt>
                <c:pt idx="931">
                  <c:v>-5.4665387379810451</c:v>
                </c:pt>
                <c:pt idx="932">
                  <c:v>-5.47973094819727</c:v>
                </c:pt>
                <c:pt idx="933">
                  <c:v>-5.4929231810225998</c:v>
                </c:pt>
                <c:pt idx="934">
                  <c:v>-5.5061154364566773</c:v>
                </c:pt>
                <c:pt idx="935">
                  <c:v>-5.5193077144991465</c:v>
                </c:pt>
                <c:pt idx="936">
                  <c:v>-5.5325000151496502</c:v>
                </c:pt>
                <c:pt idx="937">
                  <c:v>-5.5456923384078323</c:v>
                </c:pt>
                <c:pt idx="938">
                  <c:v>-5.5588846842733357</c:v>
                </c:pt>
                <c:pt idx="939">
                  <c:v>-5.5720770527458043</c:v>
                </c:pt>
                <c:pt idx="940">
                  <c:v>-5.585269443824882</c:v>
                </c:pt>
                <c:pt idx="941">
                  <c:v>-5.5984618575102116</c:v>
                </c:pt>
                <c:pt idx="942">
                  <c:v>-5.6116542938014371</c:v>
                </c:pt>
                <c:pt idx="943">
                  <c:v>-5.6248467526982013</c:v>
                </c:pt>
                <c:pt idx="944">
                  <c:v>-5.6380392342001482</c:v>
                </c:pt>
                <c:pt idx="945">
                  <c:v>-5.6512317383069206</c:v>
                </c:pt>
                <c:pt idx="946">
                  <c:v>-5.6644242650181624</c:v>
                </c:pt>
                <c:pt idx="947">
                  <c:v>-5.6776168143335175</c:v>
                </c:pt>
                <c:pt idx="948">
                  <c:v>-5.6908093862526288</c:v>
                </c:pt>
                <c:pt idx="949">
                  <c:v>-5.7040019807751392</c:v>
                </c:pt>
                <c:pt idx="950">
                  <c:v>-5.7171945979006935</c:v>
                </c:pt>
                <c:pt idx="951">
                  <c:v>-5.7303872376289346</c:v>
                </c:pt>
                <c:pt idx="952">
                  <c:v>-5.7435798999595056</c:v>
                </c:pt>
                <c:pt idx="953">
                  <c:v>-5.7567725848920501</c:v>
                </c:pt>
                <c:pt idx="954">
                  <c:v>-5.7699652924262121</c:v>
                </c:pt>
                <c:pt idx="955">
                  <c:v>-5.7831580225616346</c:v>
                </c:pt>
                <c:pt idx="956">
                  <c:v>-5.7963507752979613</c:v>
                </c:pt>
                <c:pt idx="957">
                  <c:v>-5.8095435506348352</c:v>
                </c:pt>
                <c:pt idx="958">
                  <c:v>-5.8227363485719001</c:v>
                </c:pt>
                <c:pt idx="959">
                  <c:v>-5.8359291691088</c:v>
                </c:pt>
                <c:pt idx="960">
                  <c:v>-5.8491220122451777</c:v>
                </c:pt>
                <c:pt idx="961">
                  <c:v>-5.8623148779806771</c:v>
                </c:pt>
                <c:pt idx="962">
                  <c:v>-5.875507766314942</c:v>
                </c:pt>
                <c:pt idx="963">
                  <c:v>-5.8887006772476154</c:v>
                </c:pt>
                <c:pt idx="964">
                  <c:v>-5.9018936107783411</c:v>
                </c:pt>
                <c:pt idx="965">
                  <c:v>-5.915086566906762</c:v>
                </c:pt>
                <c:pt idx="966">
                  <c:v>-5.9282795456325221</c:v>
                </c:pt>
                <c:pt idx="967">
                  <c:v>-5.9414725469552652</c:v>
                </c:pt>
                <c:pt idx="968">
                  <c:v>-5.9546655708746341</c:v>
                </c:pt>
                <c:pt idx="969">
                  <c:v>-5.9678586173902728</c:v>
                </c:pt>
                <c:pt idx="970">
                  <c:v>-5.9810516865018251</c:v>
                </c:pt>
                <c:pt idx="971">
                  <c:v>-5.9942447782089339</c:v>
                </c:pt>
                <c:pt idx="972">
                  <c:v>-6.007437892511243</c:v>
                </c:pt>
                <c:pt idx="973">
                  <c:v>-6.0206310294083965</c:v>
                </c:pt>
                <c:pt idx="974">
                  <c:v>-6.033824188900037</c:v>
                </c:pt>
                <c:pt idx="975">
                  <c:v>-6.0470173709858086</c:v>
                </c:pt>
                <c:pt idx="976">
                  <c:v>-6.060210575665355</c:v>
                </c:pt>
                <c:pt idx="977">
                  <c:v>-6.0734038029383193</c:v>
                </c:pt>
                <c:pt idx="978">
                  <c:v>-6.0865970528043452</c:v>
                </c:pt>
                <c:pt idx="979">
                  <c:v>-6.0997903252630756</c:v>
                </c:pt>
                <c:pt idx="980">
                  <c:v>-6.1129836203141545</c:v>
                </c:pt>
                <c:pt idx="981">
                  <c:v>-6.1261769379572257</c:v>
                </c:pt>
                <c:pt idx="982">
                  <c:v>-6.139370278191933</c:v>
                </c:pt>
                <c:pt idx="983">
                  <c:v>-6.1525636410179194</c:v>
                </c:pt>
                <c:pt idx="984">
                  <c:v>-6.1657570264348287</c:v>
                </c:pt>
                <c:pt idx="985">
                  <c:v>-6.1789504344423047</c:v>
                </c:pt>
                <c:pt idx="986">
                  <c:v>-6.1921438650399905</c:v>
                </c:pt>
                <c:pt idx="987">
                  <c:v>-6.2053373182275298</c:v>
                </c:pt>
                <c:pt idx="988">
                  <c:v>-6.2185307940045664</c:v>
                </c:pt>
                <c:pt idx="989">
                  <c:v>-6.2317242923707443</c:v>
                </c:pt>
                <c:pt idx="990">
                  <c:v>-6.2449178133257064</c:v>
                </c:pt>
                <c:pt idx="991">
                  <c:v>-6.2581113568690965</c:v>
                </c:pt>
                <c:pt idx="992">
                  <c:v>-6.2713049230005575</c:v>
                </c:pt>
                <c:pt idx="993">
                  <c:v>-6.2844985117197343</c:v>
                </c:pt>
                <c:pt idx="994">
                  <c:v>-6.2976921230262697</c:v>
                </c:pt>
                <c:pt idx="995">
                  <c:v>-6.3108857569198067</c:v>
                </c:pt>
                <c:pt idx="996">
                  <c:v>-6.32407941339999</c:v>
                </c:pt>
                <c:pt idx="997">
                  <c:v>-6.3372730924664626</c:v>
                </c:pt>
                <c:pt idx="998">
                  <c:v>-6.3504667941188684</c:v>
                </c:pt>
                <c:pt idx="999">
                  <c:v>-6.3636605183568511</c:v>
                </c:pt>
                <c:pt idx="1000">
                  <c:v>-6.3768542651800537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0-FB44-B75E-51812F6EE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984576"/>
        <c:axId val="1"/>
      </c:scatterChart>
      <c:valAx>
        <c:axId val="1805984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strRef>
              <c:f>Courbes!$B$146</c:f>
              <c:strCache>
                <c:ptCount val="1"/>
                <c:pt idx="0">
                  <c:v>Temps [s]</c:v>
                </c:pt>
              </c:strCache>
            </c:strRef>
          </c:tx>
          <c:overlay val="0"/>
          <c:txPr>
            <a:bodyPr/>
            <a:lstStyle/>
            <a:p>
              <a:pPr>
                <a:defRPr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fr-FR"/>
            </a:p>
          </c:tx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Positions [m]</a:t>
                </a:r>
              </a:p>
            </c:rich>
          </c:tx>
          <c:layout>
            <c:manualLayout>
              <c:xMode val="edge"/>
              <c:yMode val="edge"/>
              <c:x val="2.0047169811320754E-2"/>
              <c:y val="0.300654768153980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59845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02074463926657"/>
          <c:y val="0.49147026534597421"/>
          <c:w val="0.12627396663822255"/>
          <c:h val="0.153851561325696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Propu!$A$2</c:f>
          <c:strCache>
            <c:ptCount val="1"/>
            <c:pt idx="0">
              <c:v>Barasinga (Pro54-5G)</c:v>
            </c:pt>
          </c:strCache>
        </c:strRef>
      </c:tx>
      <c:layout>
        <c:manualLayout>
          <c:xMode val="edge"/>
          <c:yMode val="edge"/>
          <c:x val="0.47127077646762683"/>
          <c:y val="3.9178592393174498E-2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2496559551677719E-2"/>
          <c:y val="5.5426586068345704E-2"/>
          <c:w val="0.88973722710617953"/>
          <c:h val="0.8239017987134894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Propu!$A$4</c:f>
              <c:strCache>
                <c:ptCount val="1"/>
                <c:pt idx="0">
                  <c:v>Poussée (en N)</c:v>
                </c:pt>
              </c:strCache>
            </c:strRef>
          </c:tx>
          <c:spPr>
            <a:ln w="25400">
              <a:solidFill>
                <a:srgbClr val="004586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Propu!$B$3:$X$3</c:f>
              <c:numCache>
                <c:formatCode>General</c:formatCode>
                <c:ptCount val="23"/>
                <c:pt idx="0">
                  <c:v>0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2.97</c:v>
                </c:pt>
                <c:pt idx="8">
                  <c:v>3.2</c:v>
                </c:pt>
                <c:pt idx="9">
                  <c:v>3.47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3.59</c:v>
                </c:pt>
                <c:pt idx="16">
                  <c:v>3.59</c:v>
                </c:pt>
                <c:pt idx="17">
                  <c:v>3.59</c:v>
                </c:pt>
                <c:pt idx="18">
                  <c:v>3.59</c:v>
                </c:pt>
                <c:pt idx="19">
                  <c:v>3.59</c:v>
                </c:pt>
                <c:pt idx="20">
                  <c:v>3.59</c:v>
                </c:pt>
                <c:pt idx="21">
                  <c:v>3.59</c:v>
                </c:pt>
                <c:pt idx="22">
                  <c:v>3.59</c:v>
                </c:pt>
              </c:numCache>
            </c:numRef>
          </c:xVal>
          <c:yVal>
            <c:numRef>
              <c:f>Propu!$B$4:$X$4</c:f>
              <c:numCache>
                <c:formatCode>General</c:formatCode>
                <c:ptCount val="23"/>
                <c:pt idx="0">
                  <c:v>0</c:v>
                </c:pt>
                <c:pt idx="1">
                  <c:v>893</c:v>
                </c:pt>
                <c:pt idx="2">
                  <c:v>798</c:v>
                </c:pt>
                <c:pt idx="3">
                  <c:v>739</c:v>
                </c:pt>
                <c:pt idx="4">
                  <c:v>659</c:v>
                </c:pt>
                <c:pt idx="5">
                  <c:v>586</c:v>
                </c:pt>
                <c:pt idx="6">
                  <c:v>513</c:v>
                </c:pt>
                <c:pt idx="7">
                  <c:v>417</c:v>
                </c:pt>
                <c:pt idx="8">
                  <c:v>225</c:v>
                </c:pt>
                <c:pt idx="9">
                  <c:v>67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9-674F-B487-8B8E0AC55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025184"/>
        <c:axId val="1"/>
      </c:scatterChart>
      <c:valAx>
        <c:axId val="1806025184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Temps / Time [s]</a:t>
                </a:r>
              </a:p>
            </c:rich>
          </c:tx>
          <c:layout>
            <c:manualLayout>
              <c:xMode val="edge"/>
              <c:yMode val="edge"/>
              <c:x val="0.78665554917523417"/>
              <c:y val="0.68868125417484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Poussée / Thrust [N]</a:t>
                </a:r>
              </a:p>
            </c:rich>
          </c:tx>
          <c:layout>
            <c:manualLayout>
              <c:xMode val="edge"/>
              <c:yMode val="edge"/>
              <c:x val="8.5144147191391295E-2"/>
              <c:y val="0.35327652166872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6025184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1180555555555562" footer="0.51180555555555562"/>
    <c:pageSetup firstPageNumber="0"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Spin" dx="15" fmlaLink="$C$22" inc="25" max="30000" noThreeD="1" page="10" val="275"/>
</file>

<file path=xl/ctrlProps/ctrlProp10.xml><?xml version="1.0" encoding="utf-8"?>
<formControlPr xmlns="http://schemas.microsoft.com/office/spreadsheetml/2009/9/main" objectType="Spin" dx="15" fmlaLink="$C$32" max="6" min="3" noThreeD="1" page="10" val="4"/>
</file>

<file path=xl/ctrlProps/ctrlProp11.xml><?xml version="1.0" encoding="utf-8"?>
<formControlPr xmlns="http://schemas.microsoft.com/office/spreadsheetml/2009/9/main" objectType="Spin" dx="15" fmlaLink="$C$13" inc="50" max="30000" noThreeD="1" page="10" val="1992"/>
</file>

<file path=xl/ctrlProps/ctrlProp12.xml><?xml version="1.0" encoding="utf-8"?>
<formControlPr xmlns="http://schemas.microsoft.com/office/spreadsheetml/2009/9/main" objectType="Spin" dx="15" fmlaLink="$C$11" inc="100" max="30000" noThreeD="1" page="10" val="6830"/>
</file>

<file path=xl/ctrlProps/ctrlProp13.xml><?xml version="1.0" encoding="utf-8"?>
<formControlPr xmlns="http://schemas.microsoft.com/office/spreadsheetml/2009/9/main" objectType="Spin" dx="15" fmlaLink="$C$11" inc="100" max="30000" noThreeD="1" page="10" val="6830"/>
</file>

<file path=xl/ctrlProps/ctrlProp14.xml><?xml version="1.0" encoding="utf-8"?>
<formControlPr xmlns="http://schemas.microsoft.com/office/spreadsheetml/2009/9/main" objectType="Spin" dx="15" fmlaLink="Stabilito!C11" inc="100" max="30000" noThreeD="1" page="10" val="6830"/>
</file>

<file path=xl/ctrlProps/ctrlProp15.xml><?xml version="1.0" encoding="utf-8"?>
<formControlPr xmlns="http://schemas.microsoft.com/office/spreadsheetml/2009/9/main" objectType="Spin" dx="15" fmlaLink="$B$43" inc="50" max="30000" noThreeD="1" page="10" val="549"/>
</file>

<file path=xl/ctrlProps/ctrlProp16.xml><?xml version="1.0" encoding="utf-8"?>
<formControlPr xmlns="http://schemas.microsoft.com/office/spreadsheetml/2009/9/main" objectType="Spin" dx="15" fmlaLink="$B$45" inc="50" max="30000" noThreeD="1" page="10" val="549"/>
</file>

<file path=xl/ctrlProps/ctrlProp17.xml><?xml version="1.0" encoding="utf-8"?>
<formControlPr xmlns="http://schemas.microsoft.com/office/spreadsheetml/2009/9/main" objectType="Spin" dx="15" fmlaLink="$B$51" inc="50" max="30000" noThreeD="1" page="10" val="299"/>
</file>

<file path=xl/ctrlProps/ctrlProp18.xml><?xml version="1.0" encoding="utf-8"?>
<formControlPr xmlns="http://schemas.microsoft.com/office/spreadsheetml/2009/9/main" objectType="Spin" dx="15" fmlaLink="$B$53" inc="5" max="30000" noThreeD="1" page="10" val="29"/>
</file>

<file path=xl/ctrlProps/ctrlProp19.xml><?xml version="1.0" encoding="utf-8"?>
<formControlPr xmlns="http://schemas.microsoft.com/office/spreadsheetml/2009/9/main" objectType="Spin" dx="15" fmlaLink="Stabilito!C11" inc="100" max="30000" noThreeD="1" page="10" val="6830"/>
</file>

<file path=xl/ctrlProps/ctrlProp2.xml><?xml version="1.0" encoding="utf-8"?>
<formControlPr xmlns="http://schemas.microsoft.com/office/spreadsheetml/2009/9/main" objectType="Spin" dx="15" fmlaLink="$C$11" inc="100" max="30000" noThreeD="1" page="10" val="6830"/>
</file>

<file path=xl/ctrlProps/ctrlProp20.xml><?xml version="1.0" encoding="utf-8"?>
<formControlPr xmlns="http://schemas.microsoft.com/office/spreadsheetml/2009/9/main" objectType="Spin" dx="15" fmlaLink="Stabilito!C11" inc="100" max="30000" noThreeD="1" page="10" val="6830"/>
</file>

<file path=xl/ctrlProps/ctrlProp3.xml><?xml version="1.0" encoding="utf-8"?>
<formControlPr xmlns="http://schemas.microsoft.com/office/spreadsheetml/2009/9/main" objectType="Spin" dx="15" fmlaLink="$C$12" inc="50" max="30000" noThreeD="1" page="10" val="1000"/>
</file>

<file path=xl/ctrlProps/ctrlProp4.xml><?xml version="1.0" encoding="utf-8"?>
<formControlPr xmlns="http://schemas.microsoft.com/office/spreadsheetml/2009/9/main" objectType="Spin" dx="15" fmlaLink="$C$23" inc="20" max="30000" noThreeD="1" page="10" val="84"/>
</file>

<file path=xl/ctrlProps/ctrlProp5.xml><?xml version="1.0" encoding="utf-8"?>
<formControlPr xmlns="http://schemas.microsoft.com/office/spreadsheetml/2009/9/main" objectType="Spin" dx="15" fmlaLink="$C$27" inc="10" max="30000" noThreeD="1" page="10" val="190"/>
</file>

<file path=xl/ctrlProps/ctrlProp6.xml><?xml version="1.0" encoding="utf-8"?>
<formControlPr xmlns="http://schemas.microsoft.com/office/spreadsheetml/2009/9/main" objectType="Spin" dx="15" fmlaLink="$C$28" inc="10" max="30000" noThreeD="1" page="10" val="120"/>
</file>

<file path=xl/ctrlProps/ctrlProp7.xml><?xml version="1.0" encoding="utf-8"?>
<formControlPr xmlns="http://schemas.microsoft.com/office/spreadsheetml/2009/9/main" objectType="Spin" dx="15" fmlaLink="$C$29" inc="10" max="30000" noThreeD="1" page="10" val="130"/>
</file>

<file path=xl/ctrlProps/ctrlProp8.xml><?xml version="1.0" encoding="utf-8"?>
<formControlPr xmlns="http://schemas.microsoft.com/office/spreadsheetml/2009/9/main" objectType="Spin" dx="15" fmlaLink="$C$30" inc="10" max="30000" noThreeD="1" page="10" val="130"/>
</file>

<file path=xl/ctrlProps/ctrlProp9.xml><?xml version="1.0" encoding="utf-8"?>
<formControlPr xmlns="http://schemas.microsoft.com/office/spreadsheetml/2009/9/main" objectType="Spin" dx="15" fmlaLink="$C$31" max="30000" noThreeD="1" page="10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3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5.png"/><Relationship Id="rId1" Type="http://schemas.openxmlformats.org/officeDocument/2006/relationships/image" Target="../media/image4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" Type="http://schemas.openxmlformats.org/officeDocument/2006/relationships/image" Target="../media/image9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0" Type="http://schemas.openxmlformats.org/officeDocument/2006/relationships/image" Target="../media/image26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8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</xdr:row>
      <xdr:rowOff>25400</xdr:rowOff>
    </xdr:from>
    <xdr:to>
      <xdr:col>12</xdr:col>
      <xdr:colOff>533400</xdr:colOff>
      <xdr:row>1</xdr:row>
      <xdr:rowOff>139700</xdr:rowOff>
    </xdr:to>
    <xdr:grpSp>
      <xdr:nvGrpSpPr>
        <xdr:cNvPr id="5097044" name="Groupe 1">
          <a:extLst>
            <a:ext uri="{FF2B5EF4-FFF2-40B4-BE49-F238E27FC236}">
              <a16:creationId xmlns:a16="http://schemas.microsoft.com/office/drawing/2014/main" id="{00000000-0008-0000-0000-000054C64D00}"/>
            </a:ext>
          </a:extLst>
        </xdr:cNvPr>
        <xdr:cNvGrpSpPr>
          <a:grpSpLocks/>
        </xdr:cNvGrpSpPr>
      </xdr:nvGrpSpPr>
      <xdr:grpSpPr bwMode="auto">
        <a:xfrm>
          <a:off x="7377509" y="186134"/>
          <a:ext cx="508000" cy="114300"/>
          <a:chOff x="7067550" y="190500"/>
          <a:chExt cx="438150" cy="114300"/>
        </a:xfrm>
      </xdr:grpSpPr>
      <xdr:pic>
        <xdr:nvPicPr>
          <xdr:cNvPr id="5097050" name="Image 1">
            <a:extLst>
              <a:ext uri="{FF2B5EF4-FFF2-40B4-BE49-F238E27FC236}">
                <a16:creationId xmlns:a16="http://schemas.microsoft.com/office/drawing/2014/main" id="{00000000-0008-0000-0000-00005A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067550" y="190500"/>
            <a:ext cx="171450" cy="114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097051" name="Image 2">
            <a:extLst>
              <a:ext uri="{FF2B5EF4-FFF2-40B4-BE49-F238E27FC236}">
                <a16:creationId xmlns:a16="http://schemas.microsoft.com/office/drawing/2014/main" id="{00000000-0008-0000-0000-00005BC64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77100" y="190500"/>
            <a:ext cx="228600" cy="1143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4</xdr:col>
      <xdr:colOff>304800</xdr:colOff>
      <xdr:row>1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5097045" name="Graphique 9">
          <a:extLst>
            <a:ext uri="{FF2B5EF4-FFF2-40B4-BE49-F238E27FC236}">
              <a16:creationId xmlns:a16="http://schemas.microsoft.com/office/drawing/2014/main" id="{00000000-0008-0000-0000-000055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16</xdr:col>
      <xdr:colOff>0</xdr:colOff>
      <xdr:row>35</xdr:row>
      <xdr:rowOff>0</xdr:rowOff>
    </xdr:to>
    <xdr:graphicFrame macro="">
      <xdr:nvGraphicFramePr>
        <xdr:cNvPr id="5097046" name="Graphique 19">
          <a:extLst>
            <a:ext uri="{FF2B5EF4-FFF2-40B4-BE49-F238E27FC236}">
              <a16:creationId xmlns:a16="http://schemas.microsoft.com/office/drawing/2014/main" id="{00000000-0008-0000-0000-000056C6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5</xdr:row>
      <xdr:rowOff>419</xdr:rowOff>
    </xdr:to>
    <xdr:pic>
      <xdr:nvPicPr>
        <xdr:cNvPr id="5097047" name="Picture 8" descr="logoplasci">
          <a:extLst>
            <a:ext uri="{FF2B5EF4-FFF2-40B4-BE49-F238E27FC236}">
              <a16:creationId xmlns:a16="http://schemas.microsoft.com/office/drawing/2014/main" id="{00000000-0008-0000-0000-000057C64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52400"/>
          <a:ext cx="1079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3</xdr:col>
      <xdr:colOff>3175</xdr:colOff>
      <xdr:row>48</xdr:row>
      <xdr:rowOff>63500</xdr:rowOff>
    </xdr:to>
    <xdr:pic>
      <xdr:nvPicPr>
        <xdr:cNvPr id="5097048" name="Image 1">
          <a:extLst>
            <a:ext uri="{FF2B5EF4-FFF2-40B4-BE49-F238E27FC236}">
              <a16:creationId xmlns:a16="http://schemas.microsoft.com/office/drawing/2014/main" id="{00000000-0008-0000-0000-000058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5638800"/>
          <a:ext cx="2171700" cy="187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3</xdr:row>
      <xdr:rowOff>12700</xdr:rowOff>
    </xdr:from>
    <xdr:to>
      <xdr:col>20</xdr:col>
      <xdr:colOff>609600</xdr:colOff>
      <xdr:row>9</xdr:row>
      <xdr:rowOff>12700</xdr:rowOff>
    </xdr:to>
    <xdr:pic>
      <xdr:nvPicPr>
        <xdr:cNvPr id="5097049" name="Image 2">
          <a:extLst>
            <a:ext uri="{FF2B5EF4-FFF2-40B4-BE49-F238E27FC236}">
              <a16:creationId xmlns:a16="http://schemas.microsoft.com/office/drawing/2014/main" id="{00000000-0008-0000-0000-000059C6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69900"/>
          <a:ext cx="23368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21</xdr:row>
          <xdr:rowOff>9525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6775" name="Spinner 935" hidden="1">
              <a:extLst>
                <a:ext uri="{63B3BB69-23CF-44E3-9099-C40C66FF867C}">
                  <a14:compatExt spid="_x0000_s36775"/>
                </a:ext>
                <a:ext uri="{FF2B5EF4-FFF2-40B4-BE49-F238E27FC236}">
                  <a16:creationId xmlns:a16="http://schemas.microsoft.com/office/drawing/2014/main" id="{00000000-0008-0000-0000-0000A7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10</xdr:row>
          <xdr:rowOff>9525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36781" name="Spinner 941" hidden="1">
              <a:extLst>
                <a:ext uri="{63B3BB69-23CF-44E3-9099-C40C66FF867C}">
                  <a14:compatExt spid="_x0000_s36781"/>
                </a:ext>
                <a:ext uri="{FF2B5EF4-FFF2-40B4-BE49-F238E27FC236}">
                  <a16:creationId xmlns:a16="http://schemas.microsoft.com/office/drawing/2014/main" id="{00000000-0008-0000-0000-0000A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11</xdr:row>
          <xdr:rowOff>9525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36782" name="Spinner 942" hidden="1">
              <a:extLst>
                <a:ext uri="{63B3BB69-23CF-44E3-9099-C40C66FF867C}">
                  <a14:compatExt spid="_x0000_s36782"/>
                </a:ext>
                <a:ext uri="{FF2B5EF4-FFF2-40B4-BE49-F238E27FC236}">
                  <a16:creationId xmlns:a16="http://schemas.microsoft.com/office/drawing/2014/main" id="{00000000-0008-0000-0000-0000A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22</xdr:row>
          <xdr:rowOff>9525</xdr:rowOff>
        </xdr:from>
        <xdr:to>
          <xdr:col>4</xdr:col>
          <xdr:colOff>0</xdr:colOff>
          <xdr:row>23</xdr:row>
          <xdr:rowOff>0</xdr:rowOff>
        </xdr:to>
        <xdr:sp macro="" textlink="">
          <xdr:nvSpPr>
            <xdr:cNvPr id="36783" name="Spinner 943" hidden="1">
              <a:extLst>
                <a:ext uri="{63B3BB69-23CF-44E3-9099-C40C66FF867C}">
                  <a14:compatExt spid="_x0000_s36783"/>
                </a:ext>
                <a:ext uri="{FF2B5EF4-FFF2-40B4-BE49-F238E27FC236}">
                  <a16:creationId xmlns:a16="http://schemas.microsoft.com/office/drawing/2014/main" id="{00000000-0008-0000-0000-0000A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26</xdr:row>
          <xdr:rowOff>9525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36789" name="Spinner 949" hidden="1">
              <a:extLst>
                <a:ext uri="{63B3BB69-23CF-44E3-9099-C40C66FF867C}">
                  <a14:compatExt spid="_x0000_s36789"/>
                </a:ext>
                <a:ext uri="{FF2B5EF4-FFF2-40B4-BE49-F238E27FC236}">
                  <a16:creationId xmlns:a16="http://schemas.microsoft.com/office/drawing/2014/main" id="{00000000-0008-0000-0000-0000B5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27</xdr:row>
          <xdr:rowOff>9525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36795" name="Spinner 955" hidden="1">
              <a:extLst>
                <a:ext uri="{63B3BB69-23CF-44E3-9099-C40C66FF867C}">
                  <a14:compatExt spid="_x0000_s36795"/>
                </a:ext>
                <a:ext uri="{FF2B5EF4-FFF2-40B4-BE49-F238E27FC236}">
                  <a16:creationId xmlns:a16="http://schemas.microsoft.com/office/drawing/2014/main" id="{00000000-0008-0000-0000-0000BB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28</xdr:row>
          <xdr:rowOff>9525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36796" name="Spinner 956" hidden="1">
              <a:extLst>
                <a:ext uri="{63B3BB69-23CF-44E3-9099-C40C66FF867C}">
                  <a14:compatExt spid="_x0000_s36796"/>
                </a:ext>
                <a:ext uri="{FF2B5EF4-FFF2-40B4-BE49-F238E27FC236}">
                  <a16:creationId xmlns:a16="http://schemas.microsoft.com/office/drawing/2014/main" id="{00000000-0008-0000-0000-0000BC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29</xdr:row>
          <xdr:rowOff>9525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36797" name="Spinner 957" hidden="1">
              <a:extLst>
                <a:ext uri="{63B3BB69-23CF-44E3-9099-C40C66FF867C}">
                  <a14:compatExt spid="_x0000_s36797"/>
                </a:ext>
                <a:ext uri="{FF2B5EF4-FFF2-40B4-BE49-F238E27FC236}">
                  <a16:creationId xmlns:a16="http://schemas.microsoft.com/office/drawing/2014/main" id="{00000000-0008-0000-0000-0000BD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30</xdr:row>
          <xdr:rowOff>9525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36798" name="Spinner 958" hidden="1">
              <a:extLst>
                <a:ext uri="{63B3BB69-23CF-44E3-9099-C40C66FF867C}">
                  <a14:compatExt spid="_x0000_s36798"/>
                </a:ext>
                <a:ext uri="{FF2B5EF4-FFF2-40B4-BE49-F238E27FC236}">
                  <a16:creationId xmlns:a16="http://schemas.microsoft.com/office/drawing/2014/main" id="{00000000-0008-0000-0000-0000BE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809625</xdr:colOff>
          <xdr:row>31</xdr:row>
          <xdr:rowOff>9525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36799" name="Spinner 959" hidden="1">
              <a:extLst>
                <a:ext uri="{63B3BB69-23CF-44E3-9099-C40C66FF867C}">
                  <a14:compatExt spid="_x0000_s36799"/>
                </a:ext>
                <a:ext uri="{FF2B5EF4-FFF2-40B4-BE49-F238E27FC236}">
                  <a16:creationId xmlns:a16="http://schemas.microsoft.com/office/drawing/2014/main" id="{00000000-0008-0000-0000-0000BF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809625</xdr:colOff>
          <xdr:row>12</xdr:row>
          <xdr:rowOff>9525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36801" name="Spinner 961" hidden="1">
              <a:extLst>
                <a:ext uri="{63B3BB69-23CF-44E3-9099-C40C66FF867C}">
                  <a14:compatExt spid="_x0000_s36801"/>
                </a:ext>
                <a:ext uri="{FF2B5EF4-FFF2-40B4-BE49-F238E27FC236}">
                  <a16:creationId xmlns:a16="http://schemas.microsoft.com/office/drawing/2014/main" id="{00000000-0008-0000-0000-0000C18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1" name="Spinner 3315" hidden="1">
              <a:extLst>
                <a:ext uri="{63B3BB69-23CF-44E3-9099-C40C66FF867C}">
                  <a14:compatExt spid="_x0000_s5096691"/>
                </a:ext>
                <a:ext uri="{FF2B5EF4-FFF2-40B4-BE49-F238E27FC236}">
                  <a16:creationId xmlns:a16="http://schemas.microsoft.com/office/drawing/2014/main" id="{00000000-0008-0000-0000-0000F3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35</xdr:row>
          <xdr:rowOff>9525</xdr:rowOff>
        </xdr:from>
        <xdr:to>
          <xdr:col>19</xdr:col>
          <xdr:colOff>0</xdr:colOff>
          <xdr:row>36</xdr:row>
          <xdr:rowOff>0</xdr:rowOff>
        </xdr:to>
        <xdr:sp macro="" textlink="">
          <xdr:nvSpPr>
            <xdr:cNvPr id="5096692" name="Spinner 3316" hidden="1">
              <a:extLst>
                <a:ext uri="{63B3BB69-23CF-44E3-9099-C40C66FF867C}">
                  <a14:compatExt spid="_x0000_s5096692"/>
                </a:ext>
                <a:ext uri="{FF2B5EF4-FFF2-40B4-BE49-F238E27FC236}">
                  <a16:creationId xmlns:a16="http://schemas.microsoft.com/office/drawing/2014/main" id="{00000000-0008-0000-0000-0000F4C44D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0</xdr:colOff>
      <xdr:row>20</xdr:row>
      <xdr:rowOff>0</xdr:rowOff>
    </xdr:to>
    <xdr:graphicFrame macro="">
      <xdr:nvGraphicFramePr>
        <xdr:cNvPr id="5605413" name="Graphique 1">
          <a:extLst>
            <a:ext uri="{FF2B5EF4-FFF2-40B4-BE49-F238E27FC236}">
              <a16:creationId xmlns:a16="http://schemas.microsoft.com/office/drawing/2014/main" id="{00000000-0008-0000-0100-00002588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5605414" name="Graphique 2">
          <a:extLst>
            <a:ext uri="{FF2B5EF4-FFF2-40B4-BE49-F238E27FC236}">
              <a16:creationId xmlns:a16="http://schemas.microsoft.com/office/drawing/2014/main" id="{00000000-0008-0000-0100-00002688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5</xdr:row>
      <xdr:rowOff>0</xdr:rowOff>
    </xdr:to>
    <xdr:pic>
      <xdr:nvPicPr>
        <xdr:cNvPr id="5605415" name="Picture 8" descr="logoplasci">
          <a:extLst>
            <a:ext uri="{FF2B5EF4-FFF2-40B4-BE49-F238E27FC236}">
              <a16:creationId xmlns:a16="http://schemas.microsoft.com/office/drawing/2014/main" id="{00000000-0008-0000-0100-00002788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38</xdr:row>
      <xdr:rowOff>114300</xdr:rowOff>
    </xdr:from>
    <xdr:to>
      <xdr:col>3</xdr:col>
      <xdr:colOff>787400</xdr:colOff>
      <xdr:row>46</xdr:row>
      <xdr:rowOff>0</xdr:rowOff>
    </xdr:to>
    <xdr:grpSp>
      <xdr:nvGrpSpPr>
        <xdr:cNvPr id="5605416" name="Groupe 1">
          <a:extLst>
            <a:ext uri="{FF2B5EF4-FFF2-40B4-BE49-F238E27FC236}">
              <a16:creationId xmlns:a16="http://schemas.microsoft.com/office/drawing/2014/main" id="{00000000-0008-0000-0100-000028885500}"/>
            </a:ext>
          </a:extLst>
        </xdr:cNvPr>
        <xdr:cNvGrpSpPr>
          <a:grpSpLocks/>
        </xdr:cNvGrpSpPr>
      </xdr:nvGrpSpPr>
      <xdr:grpSpPr bwMode="auto">
        <a:xfrm>
          <a:off x="1385047" y="6087035"/>
          <a:ext cx="1347694" cy="1140759"/>
          <a:chOff x="1362075" y="6410325"/>
          <a:chExt cx="1319468" cy="1181100"/>
        </a:xfrm>
      </xdr:grpSpPr>
      <xdr:sp macro="" textlink="">
        <xdr:nvSpPr>
          <xdr:cNvPr id="5605421" name="Line 320">
            <a:extLst>
              <a:ext uri="{FF2B5EF4-FFF2-40B4-BE49-F238E27FC236}">
                <a16:creationId xmlns:a16="http://schemas.microsoft.com/office/drawing/2014/main" id="{00000000-0008-0000-0100-00002D88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462415" y="7296150"/>
            <a:ext cx="35118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2" name="Rectangle 314">
            <a:extLst>
              <a:ext uri="{FF2B5EF4-FFF2-40B4-BE49-F238E27FC236}">
                <a16:creationId xmlns:a16="http://schemas.microsoft.com/office/drawing/2014/main" id="{00000000-0008-0000-0100-00002E885500}"/>
              </a:ext>
            </a:extLst>
          </xdr:cNvPr>
          <xdr:cNvSpPr>
            <a:spLocks noChangeArrowheads="1"/>
          </xdr:cNvSpPr>
        </xdr:nvSpPr>
        <xdr:spPr bwMode="auto">
          <a:xfrm>
            <a:off x="1833672" y="6410325"/>
            <a:ext cx="481630" cy="1181100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05423" name="Rectangle 315">
            <a:extLst>
              <a:ext uri="{FF2B5EF4-FFF2-40B4-BE49-F238E27FC236}">
                <a16:creationId xmlns:a16="http://schemas.microsoft.com/office/drawing/2014/main" id="{00000000-0008-0000-0100-00002F885500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1838363" y="6388995"/>
            <a:ext cx="482283" cy="1204076"/>
          </a:xfrm>
          <a:prstGeom prst="rect">
            <a:avLst/>
          </a:prstGeom>
          <a:solidFill>
            <a:srgbClr val="F2F2F2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05424" name="Line 316">
            <a:extLst>
              <a:ext uri="{FF2B5EF4-FFF2-40B4-BE49-F238E27FC236}">
                <a16:creationId xmlns:a16="http://schemas.microsoft.com/office/drawing/2014/main" id="{00000000-0008-0000-0100-000030885500}"/>
              </a:ext>
            </a:extLst>
          </xdr:cNvPr>
          <xdr:cNvSpPr>
            <a:spLocks noChangeShapeType="1"/>
          </xdr:cNvSpPr>
        </xdr:nvSpPr>
        <xdr:spPr bwMode="auto">
          <a:xfrm>
            <a:off x="1833672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5" name="Line 317">
            <a:extLst>
              <a:ext uri="{FF2B5EF4-FFF2-40B4-BE49-F238E27FC236}">
                <a16:creationId xmlns:a16="http://schemas.microsoft.com/office/drawing/2014/main" id="{00000000-0008-0000-0100-000031885500}"/>
              </a:ext>
            </a:extLst>
          </xdr:cNvPr>
          <xdr:cNvSpPr>
            <a:spLocks noChangeShapeType="1"/>
          </xdr:cNvSpPr>
        </xdr:nvSpPr>
        <xdr:spPr bwMode="auto">
          <a:xfrm>
            <a:off x="2312198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5426" name="Line 319">
            <a:extLst>
              <a:ext uri="{FF2B5EF4-FFF2-40B4-BE49-F238E27FC236}">
                <a16:creationId xmlns:a16="http://schemas.microsoft.com/office/drawing/2014/main" id="{00000000-0008-0000-0100-000032885500}"/>
              </a:ext>
            </a:extLst>
          </xdr:cNvPr>
          <xdr:cNvSpPr>
            <a:spLocks noChangeShapeType="1"/>
          </xdr:cNvSpPr>
        </xdr:nvSpPr>
        <xdr:spPr bwMode="auto">
          <a:xfrm>
            <a:off x="1362075" y="6744970"/>
            <a:ext cx="0" cy="48228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279400</xdr:colOff>
      <xdr:row>49</xdr:row>
      <xdr:rowOff>25400</xdr:rowOff>
    </xdr:from>
    <xdr:to>
      <xdr:col>3</xdr:col>
      <xdr:colOff>558800</xdr:colOff>
      <xdr:row>54</xdr:row>
      <xdr:rowOff>114300</xdr:rowOff>
    </xdr:to>
    <xdr:sp macro="" textlink="">
      <xdr:nvSpPr>
        <xdr:cNvPr id="5605417" name="Oval 323">
          <a:extLst>
            <a:ext uri="{FF2B5EF4-FFF2-40B4-BE49-F238E27FC236}">
              <a16:creationId xmlns:a16="http://schemas.microsoft.com/office/drawing/2014/main" id="{00000000-0008-0000-0100-000029885500}"/>
            </a:ext>
          </a:extLst>
        </xdr:cNvPr>
        <xdr:cNvSpPr>
          <a:spLocks noChangeArrowheads="1"/>
        </xdr:cNvSpPr>
      </xdr:nvSpPr>
      <xdr:spPr bwMode="auto">
        <a:xfrm>
          <a:off x="1689100" y="7899400"/>
          <a:ext cx="1143000" cy="914400"/>
        </a:xfrm>
        <a:prstGeom prst="ellipse">
          <a:avLst/>
        </a:prstGeom>
        <a:solidFill>
          <a:srgbClr val="F2F2F2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762000</xdr:colOff>
      <xdr:row>51</xdr:row>
      <xdr:rowOff>63500</xdr:rowOff>
    </xdr:from>
    <xdr:to>
      <xdr:col>3</xdr:col>
      <xdr:colOff>101600</xdr:colOff>
      <xdr:row>52</xdr:row>
      <xdr:rowOff>76200</xdr:rowOff>
    </xdr:to>
    <xdr:sp macro="" textlink="">
      <xdr:nvSpPr>
        <xdr:cNvPr id="5605418" name="Oval 323">
          <a:extLst>
            <a:ext uri="{FF2B5EF4-FFF2-40B4-BE49-F238E27FC236}">
              <a16:creationId xmlns:a16="http://schemas.microsoft.com/office/drawing/2014/main" id="{00000000-0008-0000-0100-00002A885500}"/>
            </a:ext>
          </a:extLst>
        </xdr:cNvPr>
        <xdr:cNvSpPr>
          <a:spLocks noChangeArrowheads="1"/>
        </xdr:cNvSpPr>
      </xdr:nvSpPr>
      <xdr:spPr bwMode="auto">
        <a:xfrm>
          <a:off x="2171700" y="8267700"/>
          <a:ext cx="203200" cy="1778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49</xdr:row>
      <xdr:rowOff>25400</xdr:rowOff>
    </xdr:from>
    <xdr:to>
      <xdr:col>3</xdr:col>
      <xdr:colOff>0</xdr:colOff>
      <xdr:row>51</xdr:row>
      <xdr:rowOff>139700</xdr:rowOff>
    </xdr:to>
    <xdr:sp macro="" textlink="">
      <xdr:nvSpPr>
        <xdr:cNvPr id="5605419" name="Line 324">
          <a:extLst>
            <a:ext uri="{FF2B5EF4-FFF2-40B4-BE49-F238E27FC236}">
              <a16:creationId xmlns:a16="http://schemas.microsoft.com/office/drawing/2014/main" id="{00000000-0008-0000-0100-00002B885500}"/>
            </a:ext>
          </a:extLst>
        </xdr:cNvPr>
        <xdr:cNvSpPr>
          <a:spLocks noChangeShapeType="1"/>
        </xdr:cNvSpPr>
      </xdr:nvSpPr>
      <xdr:spPr bwMode="auto">
        <a:xfrm>
          <a:off x="2273300" y="7899400"/>
          <a:ext cx="0" cy="4445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51</xdr:row>
      <xdr:rowOff>139700</xdr:rowOff>
    </xdr:from>
    <xdr:to>
      <xdr:col>3</xdr:col>
      <xdr:colOff>0</xdr:colOff>
      <xdr:row>52</xdr:row>
      <xdr:rowOff>88900</xdr:rowOff>
    </xdr:to>
    <xdr:sp macro="" textlink="">
      <xdr:nvSpPr>
        <xdr:cNvPr id="5605420" name="Line 324">
          <a:extLst>
            <a:ext uri="{FF2B5EF4-FFF2-40B4-BE49-F238E27FC236}">
              <a16:creationId xmlns:a16="http://schemas.microsoft.com/office/drawing/2014/main" id="{00000000-0008-0000-0100-00002C885500}"/>
            </a:ext>
          </a:extLst>
        </xdr:cNvPr>
        <xdr:cNvSpPr>
          <a:spLocks noChangeShapeType="1"/>
        </xdr:cNvSpPr>
      </xdr:nvSpPr>
      <xdr:spPr bwMode="auto">
        <a:xfrm flipH="1">
          <a:off x="2273300" y="8343900"/>
          <a:ext cx="0" cy="1143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1424424" name="Spinner 1064" hidden="1">
              <a:extLst>
                <a:ext uri="{63B3BB69-23CF-44E3-9099-C40C66FF867C}">
                  <a14:compatExt spid="_x0000_s1424424"/>
                </a:ext>
                <a:ext uri="{FF2B5EF4-FFF2-40B4-BE49-F238E27FC236}">
                  <a16:creationId xmlns:a16="http://schemas.microsoft.com/office/drawing/2014/main" id="{00000000-0008-0000-0100-000028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42</xdr:row>
          <xdr:rowOff>9525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424589" name="Spinner 1229" hidden="1">
              <a:extLst>
                <a:ext uri="{63B3BB69-23CF-44E3-9099-C40C66FF867C}">
                  <a14:compatExt spid="_x0000_s1424589"/>
                </a:ext>
                <a:ext uri="{FF2B5EF4-FFF2-40B4-BE49-F238E27FC236}">
                  <a16:creationId xmlns:a16="http://schemas.microsoft.com/office/drawing/2014/main" id="{00000000-0008-0000-0100-0000CD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44</xdr:row>
          <xdr:rowOff>9525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424590" name="Spinner 1230" hidden="1">
              <a:extLst>
                <a:ext uri="{63B3BB69-23CF-44E3-9099-C40C66FF867C}">
                  <a14:compatExt spid="_x0000_s1424590"/>
                </a:ext>
                <a:ext uri="{FF2B5EF4-FFF2-40B4-BE49-F238E27FC236}">
                  <a16:creationId xmlns:a16="http://schemas.microsoft.com/office/drawing/2014/main" id="{00000000-0008-0000-0100-0000CE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50</xdr:row>
          <xdr:rowOff>9525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424591" name="Spinner 1231" hidden="1">
              <a:extLst>
                <a:ext uri="{63B3BB69-23CF-44E3-9099-C40C66FF867C}">
                  <a14:compatExt spid="_x0000_s1424591"/>
                </a:ext>
                <a:ext uri="{FF2B5EF4-FFF2-40B4-BE49-F238E27FC236}">
                  <a16:creationId xmlns:a16="http://schemas.microsoft.com/office/drawing/2014/main" id="{00000000-0008-0000-0100-0000CFBC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93</xdr:row>
          <xdr:rowOff>66675</xdr:rowOff>
        </xdr:from>
        <xdr:to>
          <xdr:col>4</xdr:col>
          <xdr:colOff>66675</xdr:colOff>
          <xdr:row>99</xdr:row>
          <xdr:rowOff>76200</xdr:rowOff>
        </xdr:to>
        <xdr:sp macro="" textlink="">
          <xdr:nvSpPr>
            <xdr:cNvPr id="1425294" name="Object 1934" hidden="1">
              <a:extLst>
                <a:ext uri="{63B3BB69-23CF-44E3-9099-C40C66FF867C}">
                  <a14:compatExt spid="_x0000_s1425294"/>
                </a:ext>
                <a:ext uri="{FF2B5EF4-FFF2-40B4-BE49-F238E27FC236}">
                  <a16:creationId xmlns:a16="http://schemas.microsoft.com/office/drawing/2014/main" id="{00000000-0008-0000-0100-00008EBF15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1076325</xdr:colOff>
          <xdr:row>52</xdr:row>
          <xdr:rowOff>9525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4779462" name="Spinner 4550" hidden="1">
              <a:extLst>
                <a:ext uri="{63B3BB69-23CF-44E3-9099-C40C66FF867C}">
                  <a14:compatExt spid="_x0000_s4779462"/>
                </a:ext>
                <a:ext uri="{FF2B5EF4-FFF2-40B4-BE49-F238E27FC236}">
                  <a16:creationId xmlns:a16="http://schemas.microsoft.com/office/drawing/2014/main" id="{00000000-0008-0000-0100-0000C6ED4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0</xdr:rowOff>
    </xdr:from>
    <xdr:to>
      <xdr:col>10</xdr:col>
      <xdr:colOff>673100</xdr:colOff>
      <xdr:row>19</xdr:row>
      <xdr:rowOff>0</xdr:rowOff>
    </xdr:to>
    <xdr:graphicFrame macro="">
      <xdr:nvGraphicFramePr>
        <xdr:cNvPr id="5105837" name="Graphique 1">
          <a:extLst>
            <a:ext uri="{FF2B5EF4-FFF2-40B4-BE49-F238E27FC236}">
              <a16:creationId xmlns:a16="http://schemas.microsoft.com/office/drawing/2014/main" id="{00000000-0008-0000-0200-0000AD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37</xdr:row>
      <xdr:rowOff>0</xdr:rowOff>
    </xdr:from>
    <xdr:to>
      <xdr:col>10</xdr:col>
      <xdr:colOff>673100</xdr:colOff>
      <xdr:row>55</xdr:row>
      <xdr:rowOff>0</xdr:rowOff>
    </xdr:to>
    <xdr:graphicFrame macro="">
      <xdr:nvGraphicFramePr>
        <xdr:cNvPr id="5105838" name="Graphique 2">
          <a:extLst>
            <a:ext uri="{FF2B5EF4-FFF2-40B4-BE49-F238E27FC236}">
              <a16:creationId xmlns:a16="http://schemas.microsoft.com/office/drawing/2014/main" id="{00000000-0008-0000-0200-0000AE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19</xdr:row>
      <xdr:rowOff>0</xdr:rowOff>
    </xdr:from>
    <xdr:to>
      <xdr:col>10</xdr:col>
      <xdr:colOff>673100</xdr:colOff>
      <xdr:row>37</xdr:row>
      <xdr:rowOff>0</xdr:rowOff>
    </xdr:to>
    <xdr:graphicFrame macro="">
      <xdr:nvGraphicFramePr>
        <xdr:cNvPr id="5105839" name="Graphique 3">
          <a:extLst>
            <a:ext uri="{FF2B5EF4-FFF2-40B4-BE49-F238E27FC236}">
              <a16:creationId xmlns:a16="http://schemas.microsoft.com/office/drawing/2014/main" id="{00000000-0008-0000-0200-0000AF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55</xdr:row>
      <xdr:rowOff>0</xdr:rowOff>
    </xdr:from>
    <xdr:to>
      <xdr:col>10</xdr:col>
      <xdr:colOff>673100</xdr:colOff>
      <xdr:row>73</xdr:row>
      <xdr:rowOff>0</xdr:rowOff>
    </xdr:to>
    <xdr:graphicFrame macro="">
      <xdr:nvGraphicFramePr>
        <xdr:cNvPr id="5105840" name="Graphique 4">
          <a:extLst>
            <a:ext uri="{FF2B5EF4-FFF2-40B4-BE49-F238E27FC236}">
              <a16:creationId xmlns:a16="http://schemas.microsoft.com/office/drawing/2014/main" id="{00000000-0008-0000-0200-0000B0E8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50800</xdr:rowOff>
    </xdr:from>
    <xdr:to>
      <xdr:col>7</xdr:col>
      <xdr:colOff>228600</xdr:colOff>
      <xdr:row>19</xdr:row>
      <xdr:rowOff>139700</xdr:rowOff>
    </xdr:to>
    <xdr:graphicFrame macro="">
      <xdr:nvGraphicFramePr>
        <xdr:cNvPr id="5110828" name="Graphique 1">
          <a:extLst>
            <a:ext uri="{FF2B5EF4-FFF2-40B4-BE49-F238E27FC236}">
              <a16:creationId xmlns:a16="http://schemas.microsoft.com/office/drawing/2014/main" id="{00000000-0008-0000-0300-00002CF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1008</xdr:row>
      <xdr:rowOff>152400</xdr:rowOff>
    </xdr:from>
    <xdr:to>
      <xdr:col>16</xdr:col>
      <xdr:colOff>165100</xdr:colOff>
      <xdr:row>1010</xdr:row>
      <xdr:rowOff>88900</xdr:rowOff>
    </xdr:to>
    <xdr:sp macro="" textlink="">
      <xdr:nvSpPr>
        <xdr:cNvPr id="3411" name="Line 60">
          <a:extLst>
            <a:ext uri="{FF2B5EF4-FFF2-40B4-BE49-F238E27FC236}">
              <a16:creationId xmlns:a16="http://schemas.microsoft.com/office/drawing/2014/main" id="{00000000-0008-0000-0400-0000530D0000}"/>
            </a:ext>
          </a:extLst>
        </xdr:cNvPr>
        <xdr:cNvSpPr>
          <a:spLocks noChangeShapeType="1"/>
        </xdr:cNvSpPr>
      </xdr:nvSpPr>
      <xdr:spPr bwMode="auto">
        <a:xfrm flipH="1">
          <a:off x="6273800" y="166585900"/>
          <a:ext cx="1193800" cy="266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1011</xdr:row>
      <xdr:rowOff>101600</xdr:rowOff>
    </xdr:from>
    <xdr:to>
      <xdr:col>17</xdr:col>
      <xdr:colOff>381000</xdr:colOff>
      <xdr:row>1013</xdr:row>
      <xdr:rowOff>139700</xdr:rowOff>
    </xdr:to>
    <xdr:sp macro="" textlink="">
      <xdr:nvSpPr>
        <xdr:cNvPr id="3412" name="Line 71">
          <a:extLst>
            <a:ext uri="{FF2B5EF4-FFF2-40B4-BE49-F238E27FC236}">
              <a16:creationId xmlns:a16="http://schemas.microsoft.com/office/drawing/2014/main" id="{00000000-0008-0000-0400-0000540D0000}"/>
            </a:ext>
          </a:extLst>
        </xdr:cNvPr>
        <xdr:cNvSpPr>
          <a:spLocks noChangeShapeType="1"/>
        </xdr:cNvSpPr>
      </xdr:nvSpPr>
      <xdr:spPr bwMode="auto">
        <a:xfrm flipH="1" flipV="1">
          <a:off x="6286500" y="167030400"/>
          <a:ext cx="2057400" cy="368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1012</xdr:row>
      <xdr:rowOff>139700</xdr:rowOff>
    </xdr:from>
    <xdr:to>
      <xdr:col>17</xdr:col>
      <xdr:colOff>381000</xdr:colOff>
      <xdr:row>1015</xdr:row>
      <xdr:rowOff>25400</xdr:rowOff>
    </xdr:to>
    <xdr:sp macro="" textlink="">
      <xdr:nvSpPr>
        <xdr:cNvPr id="3413" name="Line 71">
          <a:extLst>
            <a:ext uri="{FF2B5EF4-FFF2-40B4-BE49-F238E27FC236}">
              <a16:creationId xmlns:a16="http://schemas.microsoft.com/office/drawing/2014/main" id="{00000000-0008-0000-0400-0000550D0000}"/>
            </a:ext>
          </a:extLst>
        </xdr:cNvPr>
        <xdr:cNvSpPr>
          <a:spLocks noChangeShapeType="1"/>
        </xdr:cNvSpPr>
      </xdr:nvSpPr>
      <xdr:spPr bwMode="auto">
        <a:xfrm flipH="1" flipV="1">
          <a:off x="6286500" y="167233600"/>
          <a:ext cx="205740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1010</xdr:row>
          <xdr:rowOff>85725</xdr:rowOff>
        </xdr:from>
        <xdr:to>
          <xdr:col>20</xdr:col>
          <xdr:colOff>266700</xdr:colOff>
          <xdr:row>1013</xdr:row>
          <xdr:rowOff>28575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1024</xdr:row>
          <xdr:rowOff>142875</xdr:rowOff>
        </xdr:from>
        <xdr:to>
          <xdr:col>25</xdr:col>
          <xdr:colOff>409575</xdr:colOff>
          <xdr:row>1026</xdr:row>
          <xdr:rowOff>66675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1006</xdr:row>
          <xdr:rowOff>28575</xdr:rowOff>
        </xdr:from>
        <xdr:to>
          <xdr:col>24</xdr:col>
          <xdr:colOff>142875</xdr:colOff>
          <xdr:row>1007</xdr:row>
          <xdr:rowOff>85725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1017</xdr:row>
          <xdr:rowOff>142875</xdr:rowOff>
        </xdr:from>
        <xdr:to>
          <xdr:col>10</xdr:col>
          <xdr:colOff>533400</xdr:colOff>
          <xdr:row>1019</xdr:row>
          <xdr:rowOff>114300</xdr:rowOff>
        </xdr:to>
        <xdr:sp macro="" textlink="">
          <xdr:nvSpPr>
            <xdr:cNvPr id="3112" name="Object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4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1014</xdr:row>
          <xdr:rowOff>152400</xdr:rowOff>
        </xdr:from>
        <xdr:to>
          <xdr:col>11</xdr:col>
          <xdr:colOff>238125</xdr:colOff>
          <xdr:row>1016</xdr:row>
          <xdr:rowOff>66675</xdr:rowOff>
        </xdr:to>
        <xdr:sp macro="" textlink="">
          <xdr:nvSpPr>
            <xdr:cNvPr id="3114" name="Object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4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1016</xdr:row>
          <xdr:rowOff>66675</xdr:rowOff>
        </xdr:from>
        <xdr:to>
          <xdr:col>11</xdr:col>
          <xdr:colOff>219075</xdr:colOff>
          <xdr:row>1017</xdr:row>
          <xdr:rowOff>142875</xdr:rowOff>
        </xdr:to>
        <xdr:sp macro="" textlink="">
          <xdr:nvSpPr>
            <xdr:cNvPr id="3115" name="Object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4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1022</xdr:row>
          <xdr:rowOff>66675</xdr:rowOff>
        </xdr:from>
        <xdr:to>
          <xdr:col>17</xdr:col>
          <xdr:colOff>238125</xdr:colOff>
          <xdr:row>1024</xdr:row>
          <xdr:rowOff>142875</xdr:rowOff>
        </xdr:to>
        <xdr:sp macro="" textlink="">
          <xdr:nvSpPr>
            <xdr:cNvPr id="3119" name="Object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4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1008</xdr:row>
          <xdr:rowOff>0</xdr:rowOff>
        </xdr:from>
        <xdr:to>
          <xdr:col>11</xdr:col>
          <xdr:colOff>219075</xdr:colOff>
          <xdr:row>1010</xdr:row>
          <xdr:rowOff>76200</xdr:rowOff>
        </xdr:to>
        <xdr:sp macro="" textlink="">
          <xdr:nvSpPr>
            <xdr:cNvPr id="3120" name="Object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4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1010</xdr:row>
          <xdr:rowOff>85725</xdr:rowOff>
        </xdr:from>
        <xdr:to>
          <xdr:col>12</xdr:col>
          <xdr:colOff>219075</xdr:colOff>
          <xdr:row>1013</xdr:row>
          <xdr:rowOff>0</xdr:rowOff>
        </xdr:to>
        <xdr:sp macro="" textlink="">
          <xdr:nvSpPr>
            <xdr:cNvPr id="3121" name="Object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4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1006</xdr:row>
          <xdr:rowOff>85725</xdr:rowOff>
        </xdr:from>
        <xdr:to>
          <xdr:col>3</xdr:col>
          <xdr:colOff>495300</xdr:colOff>
          <xdr:row>1007</xdr:row>
          <xdr:rowOff>152400</xdr:rowOff>
        </xdr:to>
        <xdr:sp macro="" textlink="">
          <xdr:nvSpPr>
            <xdr:cNvPr id="3122" name="Object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4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1024</xdr:row>
          <xdr:rowOff>152400</xdr:rowOff>
        </xdr:from>
        <xdr:to>
          <xdr:col>16</xdr:col>
          <xdr:colOff>0</xdr:colOff>
          <xdr:row>1026</xdr:row>
          <xdr:rowOff>123825</xdr:rowOff>
        </xdr:to>
        <xdr:sp macro="" textlink="">
          <xdr:nvSpPr>
            <xdr:cNvPr id="3124" name="Object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4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1013</xdr:row>
          <xdr:rowOff>28575</xdr:rowOff>
        </xdr:from>
        <xdr:to>
          <xdr:col>21</xdr:col>
          <xdr:colOff>28575</xdr:colOff>
          <xdr:row>1014</xdr:row>
          <xdr:rowOff>104775</xdr:rowOff>
        </xdr:to>
        <xdr:sp macro="" textlink="">
          <xdr:nvSpPr>
            <xdr:cNvPr id="3125" name="Object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4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1005</xdr:row>
          <xdr:rowOff>9525</xdr:rowOff>
        </xdr:from>
        <xdr:to>
          <xdr:col>10</xdr:col>
          <xdr:colOff>371475</xdr:colOff>
          <xdr:row>1006</xdr:row>
          <xdr:rowOff>76200</xdr:rowOff>
        </xdr:to>
        <xdr:sp macro="" textlink="">
          <xdr:nvSpPr>
            <xdr:cNvPr id="3127" name="Object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4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1013</xdr:row>
          <xdr:rowOff>9525</xdr:rowOff>
        </xdr:from>
        <xdr:to>
          <xdr:col>8</xdr:col>
          <xdr:colOff>180975</xdr:colOff>
          <xdr:row>1014</xdr:row>
          <xdr:rowOff>142875</xdr:rowOff>
        </xdr:to>
        <xdr:sp macro="" textlink="">
          <xdr:nvSpPr>
            <xdr:cNvPr id="3129" name="Object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4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1018</xdr:row>
          <xdr:rowOff>47625</xdr:rowOff>
        </xdr:from>
        <xdr:to>
          <xdr:col>24</xdr:col>
          <xdr:colOff>981075</xdr:colOff>
          <xdr:row>1019</xdr:row>
          <xdr:rowOff>114300</xdr:rowOff>
        </xdr:to>
        <xdr:sp macro="" textlink="">
          <xdr:nvSpPr>
            <xdr:cNvPr id="3131" name="Object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4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1019</xdr:row>
          <xdr:rowOff>123825</xdr:rowOff>
        </xdr:from>
        <xdr:to>
          <xdr:col>20</xdr:col>
          <xdr:colOff>523875</xdr:colOff>
          <xdr:row>1022</xdr:row>
          <xdr:rowOff>47625</xdr:rowOff>
        </xdr:to>
        <xdr:sp macro="" textlink="">
          <xdr:nvSpPr>
            <xdr:cNvPr id="3134" name="Object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4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1018</xdr:row>
          <xdr:rowOff>47625</xdr:rowOff>
        </xdr:from>
        <xdr:to>
          <xdr:col>19</xdr:col>
          <xdr:colOff>161925</xdr:colOff>
          <xdr:row>1019</xdr:row>
          <xdr:rowOff>114300</xdr:rowOff>
        </xdr:to>
        <xdr:sp macro="" textlink="">
          <xdr:nvSpPr>
            <xdr:cNvPr id="3135" name="Object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4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1007</xdr:row>
          <xdr:rowOff>104775</xdr:rowOff>
        </xdr:from>
        <xdr:to>
          <xdr:col>37</xdr:col>
          <xdr:colOff>257175</xdr:colOff>
          <xdr:row>1010</xdr:row>
          <xdr:rowOff>66675</xdr:rowOff>
        </xdr:to>
        <xdr:sp macro="" textlink="">
          <xdr:nvSpPr>
            <xdr:cNvPr id="3141" name="Object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4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1010</xdr:row>
          <xdr:rowOff>76200</xdr:rowOff>
        </xdr:from>
        <xdr:to>
          <xdr:col>35</xdr:col>
          <xdr:colOff>657225</xdr:colOff>
          <xdr:row>1013</xdr:row>
          <xdr:rowOff>38100</xdr:rowOff>
        </xdr:to>
        <xdr:sp macro="" textlink="">
          <xdr:nvSpPr>
            <xdr:cNvPr id="3142" name="Object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4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1035</xdr:row>
          <xdr:rowOff>28575</xdr:rowOff>
        </xdr:from>
        <xdr:to>
          <xdr:col>11</xdr:col>
          <xdr:colOff>504825</xdr:colOff>
          <xdr:row>1038</xdr:row>
          <xdr:rowOff>28575</xdr:rowOff>
        </xdr:to>
        <xdr:sp macro="" textlink="">
          <xdr:nvSpPr>
            <xdr:cNvPr id="3157" name="Object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4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1040</xdr:row>
          <xdr:rowOff>28575</xdr:rowOff>
        </xdr:from>
        <xdr:to>
          <xdr:col>12</xdr:col>
          <xdr:colOff>28575</xdr:colOff>
          <xdr:row>1043</xdr:row>
          <xdr:rowOff>28575</xdr:rowOff>
        </xdr:to>
        <xdr:sp macro="" textlink="">
          <xdr:nvSpPr>
            <xdr:cNvPr id="3158" name="Object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4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1014</xdr:row>
          <xdr:rowOff>104775</xdr:rowOff>
        </xdr:from>
        <xdr:to>
          <xdr:col>20</xdr:col>
          <xdr:colOff>304800</xdr:colOff>
          <xdr:row>1016</xdr:row>
          <xdr:rowOff>9525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228600</xdr:colOff>
          <xdr:row>1007</xdr:row>
          <xdr:rowOff>104775</xdr:rowOff>
        </xdr:from>
        <xdr:to>
          <xdr:col>32</xdr:col>
          <xdr:colOff>152400</xdr:colOff>
          <xdr:row>1010</xdr:row>
          <xdr:rowOff>76200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1055</xdr:row>
          <xdr:rowOff>28575</xdr:rowOff>
        </xdr:from>
        <xdr:to>
          <xdr:col>12</xdr:col>
          <xdr:colOff>304800</xdr:colOff>
          <xdr:row>1058</xdr:row>
          <xdr:rowOff>47625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1060</xdr:row>
          <xdr:rowOff>28575</xdr:rowOff>
        </xdr:from>
        <xdr:to>
          <xdr:col>15</xdr:col>
          <xdr:colOff>47625</xdr:colOff>
          <xdr:row>1063</xdr:row>
          <xdr:rowOff>47625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1065</xdr:row>
          <xdr:rowOff>28575</xdr:rowOff>
        </xdr:from>
        <xdr:to>
          <xdr:col>16</xdr:col>
          <xdr:colOff>609600</xdr:colOff>
          <xdr:row>1068</xdr:row>
          <xdr:rowOff>47625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1045</xdr:row>
          <xdr:rowOff>28575</xdr:rowOff>
        </xdr:from>
        <xdr:to>
          <xdr:col>16</xdr:col>
          <xdr:colOff>104775</xdr:colOff>
          <xdr:row>1048</xdr:row>
          <xdr:rowOff>28575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1050</xdr:row>
          <xdr:rowOff>28575</xdr:rowOff>
        </xdr:from>
        <xdr:to>
          <xdr:col>16</xdr:col>
          <xdr:colOff>352425</xdr:colOff>
          <xdr:row>1053</xdr:row>
          <xdr:rowOff>47625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1070</xdr:row>
          <xdr:rowOff>28575</xdr:rowOff>
        </xdr:from>
        <xdr:to>
          <xdr:col>12</xdr:col>
          <xdr:colOff>371475</xdr:colOff>
          <xdr:row>1073</xdr:row>
          <xdr:rowOff>47625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1053</xdr:row>
          <xdr:rowOff>28575</xdr:rowOff>
        </xdr:from>
        <xdr:to>
          <xdr:col>32</xdr:col>
          <xdr:colOff>381000</xdr:colOff>
          <xdr:row>1056</xdr:row>
          <xdr:rowOff>28575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1022</xdr:row>
          <xdr:rowOff>47625</xdr:rowOff>
        </xdr:from>
        <xdr:to>
          <xdr:col>32</xdr:col>
          <xdr:colOff>238125</xdr:colOff>
          <xdr:row>1024</xdr:row>
          <xdr:rowOff>114300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1017</xdr:row>
          <xdr:rowOff>28575</xdr:rowOff>
        </xdr:from>
        <xdr:to>
          <xdr:col>36</xdr:col>
          <xdr:colOff>152400</xdr:colOff>
          <xdr:row>1020</xdr:row>
          <xdr:rowOff>28575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1014</xdr:row>
          <xdr:rowOff>0</xdr:rowOff>
        </xdr:from>
        <xdr:to>
          <xdr:col>36</xdr:col>
          <xdr:colOff>638175</xdr:colOff>
          <xdr:row>1017</xdr:row>
          <xdr:rowOff>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1020</xdr:row>
          <xdr:rowOff>38100</xdr:rowOff>
        </xdr:from>
        <xdr:to>
          <xdr:col>35</xdr:col>
          <xdr:colOff>123825</xdr:colOff>
          <xdr:row>1023</xdr:row>
          <xdr:rowOff>38100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1023</xdr:row>
          <xdr:rowOff>66675</xdr:rowOff>
        </xdr:from>
        <xdr:to>
          <xdr:col>36</xdr:col>
          <xdr:colOff>47625</xdr:colOff>
          <xdr:row>1026</xdr:row>
          <xdr:rowOff>66675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4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1048</xdr:row>
          <xdr:rowOff>28575</xdr:rowOff>
        </xdr:from>
        <xdr:to>
          <xdr:col>34</xdr:col>
          <xdr:colOff>314325</xdr:colOff>
          <xdr:row>1051</xdr:row>
          <xdr:rowOff>76200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4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152400</xdr:rowOff>
    </xdr:to>
    <xdr:pic>
      <xdr:nvPicPr>
        <xdr:cNvPr id="2604376" name="Picture 8" descr="logoplasci">
          <a:extLst>
            <a:ext uri="{FF2B5EF4-FFF2-40B4-BE49-F238E27FC236}">
              <a16:creationId xmlns:a16="http://schemas.microsoft.com/office/drawing/2014/main" id="{00000000-0008-0000-0500-000058BD2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2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482600</xdr:colOff>
      <xdr:row>0</xdr:row>
      <xdr:rowOff>114300</xdr:rowOff>
    </xdr:from>
    <xdr:to>
      <xdr:col>12</xdr:col>
      <xdr:colOff>482600</xdr:colOff>
      <xdr:row>17</xdr:row>
      <xdr:rowOff>25400</xdr:rowOff>
    </xdr:to>
    <xdr:graphicFrame macro="">
      <xdr:nvGraphicFramePr>
        <xdr:cNvPr id="2604377" name="Graphique 2">
          <a:extLst>
            <a:ext uri="{FF2B5EF4-FFF2-40B4-BE49-F238E27FC236}">
              <a16:creationId xmlns:a16="http://schemas.microsoft.com/office/drawing/2014/main" id="{00000000-0008-0000-0500-000059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17</xdr:row>
      <xdr:rowOff>25400</xdr:rowOff>
    </xdr:from>
    <xdr:to>
      <xdr:col>12</xdr:col>
      <xdr:colOff>482600</xdr:colOff>
      <xdr:row>34</xdr:row>
      <xdr:rowOff>25400</xdr:rowOff>
    </xdr:to>
    <xdr:graphicFrame macro="">
      <xdr:nvGraphicFramePr>
        <xdr:cNvPr id="2604378" name="Graphique 2">
          <a:extLst>
            <a:ext uri="{FF2B5EF4-FFF2-40B4-BE49-F238E27FC236}">
              <a16:creationId xmlns:a16="http://schemas.microsoft.com/office/drawing/2014/main" id="{00000000-0008-0000-0500-00005A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17</xdr:row>
      <xdr:rowOff>25400</xdr:rowOff>
    </xdr:from>
    <xdr:to>
      <xdr:col>6</xdr:col>
      <xdr:colOff>482600</xdr:colOff>
      <xdr:row>34</xdr:row>
      <xdr:rowOff>25400</xdr:rowOff>
    </xdr:to>
    <xdr:graphicFrame macro="">
      <xdr:nvGraphicFramePr>
        <xdr:cNvPr id="2604379" name="Graphique 2">
          <a:extLst>
            <a:ext uri="{FF2B5EF4-FFF2-40B4-BE49-F238E27FC236}">
              <a16:creationId xmlns:a16="http://schemas.microsoft.com/office/drawing/2014/main" id="{00000000-0008-0000-0500-00005BBD2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9</xdr:row>
          <xdr:rowOff>9525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604063" name="Spinner 31" hidden="1">
              <a:extLst>
                <a:ext uri="{63B3BB69-23CF-44E3-9099-C40C66FF867C}">
                  <a14:compatExt spid="_x0000_s2604063"/>
                </a:ext>
                <a:ext uri="{FF2B5EF4-FFF2-40B4-BE49-F238E27FC236}">
                  <a16:creationId xmlns:a16="http://schemas.microsoft.com/office/drawing/2014/main" id="{00000000-0008-0000-0500-00001F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352425</xdr:colOff>
          <xdr:row>68</xdr:row>
          <xdr:rowOff>28575</xdr:rowOff>
        </xdr:from>
        <xdr:to>
          <xdr:col>12</xdr:col>
          <xdr:colOff>809625</xdr:colOff>
          <xdr:row>85</xdr:row>
          <xdr:rowOff>9525</xdr:rowOff>
        </xdr:to>
        <xdr:sp macro="" textlink="">
          <xdr:nvSpPr>
            <xdr:cNvPr id="2604101" name="Object 69" hidden="1">
              <a:extLst>
                <a:ext uri="{63B3BB69-23CF-44E3-9099-C40C66FF867C}">
                  <a14:compatExt spid="_x0000_s2604101"/>
                </a:ext>
                <a:ext uri="{FF2B5EF4-FFF2-40B4-BE49-F238E27FC236}">
                  <a16:creationId xmlns:a16="http://schemas.microsoft.com/office/drawing/2014/main" id="{00000000-0008-0000-0500-000045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695325</xdr:colOff>
          <xdr:row>10</xdr:row>
          <xdr:rowOff>9525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604202" name="Spinner 170" hidden="1">
              <a:extLst>
                <a:ext uri="{63B3BB69-23CF-44E3-9099-C40C66FF867C}">
                  <a14:compatExt spid="_x0000_s2604202"/>
                </a:ext>
                <a:ext uri="{FF2B5EF4-FFF2-40B4-BE49-F238E27FC236}">
                  <a16:creationId xmlns:a16="http://schemas.microsoft.com/office/drawing/2014/main" id="{00000000-0008-0000-0500-0000AABC27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33</xdr:row>
      <xdr:rowOff>25400</xdr:rowOff>
    </xdr:from>
    <xdr:to>
      <xdr:col>2</xdr:col>
      <xdr:colOff>12700</xdr:colOff>
      <xdr:row>44</xdr:row>
      <xdr:rowOff>25400</xdr:rowOff>
    </xdr:to>
    <xdr:pic>
      <xdr:nvPicPr>
        <xdr:cNvPr id="5956" name="Image 1">
          <a:extLst>
            <a:ext uri="{FF2B5EF4-FFF2-40B4-BE49-F238E27FC236}">
              <a16:creationId xmlns:a16="http://schemas.microsoft.com/office/drawing/2014/main" id="{00000000-0008-0000-0600-000044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473700"/>
          <a:ext cx="13462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1231900</xdr:colOff>
      <xdr:row>52</xdr:row>
      <xdr:rowOff>50800</xdr:rowOff>
    </xdr:from>
    <xdr:to>
      <xdr:col>10</xdr:col>
      <xdr:colOff>660400</xdr:colOff>
      <xdr:row>80</xdr:row>
      <xdr:rowOff>25400</xdr:rowOff>
    </xdr:to>
    <xdr:pic>
      <xdr:nvPicPr>
        <xdr:cNvPr id="5957" name="Image 2">
          <a:extLst>
            <a:ext uri="{FF2B5EF4-FFF2-40B4-BE49-F238E27FC236}">
              <a16:creationId xmlns:a16="http://schemas.microsoft.com/office/drawing/2014/main" id="{00000000-0008-0000-0600-0000451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8636000"/>
          <a:ext cx="7708900" cy="459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1079500</xdr:colOff>
      <xdr:row>4</xdr:row>
      <xdr:rowOff>152400</xdr:rowOff>
    </xdr:to>
    <xdr:pic>
      <xdr:nvPicPr>
        <xdr:cNvPr id="5958" name="Picture 8" descr="logoplasci">
          <a:extLst>
            <a:ext uri="{FF2B5EF4-FFF2-40B4-BE49-F238E27FC236}">
              <a16:creationId xmlns:a16="http://schemas.microsoft.com/office/drawing/2014/main" id="{00000000-0008-0000-0600-0000461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" y="165100"/>
          <a:ext cx="1079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80</xdr:row>
      <xdr:rowOff>12700</xdr:rowOff>
    </xdr:from>
    <xdr:to>
      <xdr:col>8</xdr:col>
      <xdr:colOff>0</xdr:colOff>
      <xdr:row>102</xdr:row>
      <xdr:rowOff>101600</xdr:rowOff>
    </xdr:to>
    <xdr:grpSp>
      <xdr:nvGrpSpPr>
        <xdr:cNvPr id="5600684" name="Group 232">
          <a:extLst>
            <a:ext uri="{FF2B5EF4-FFF2-40B4-BE49-F238E27FC236}">
              <a16:creationId xmlns:a16="http://schemas.microsoft.com/office/drawing/2014/main" id="{00000000-0008-0000-0700-0000AC755500}"/>
            </a:ext>
          </a:extLst>
        </xdr:cNvPr>
        <xdr:cNvGrpSpPr>
          <a:grpSpLocks/>
        </xdr:cNvGrpSpPr>
      </xdr:nvGrpSpPr>
      <xdr:grpSpPr bwMode="auto">
        <a:xfrm>
          <a:off x="4171950" y="13214350"/>
          <a:ext cx="2152650" cy="3746500"/>
          <a:chOff x="3421" y="5379"/>
          <a:chExt cx="2289" cy="5759"/>
        </a:xfrm>
      </xdr:grpSpPr>
      <xdr:grpSp>
        <xdr:nvGrpSpPr>
          <xdr:cNvPr id="5600788" name="Group 233">
            <a:extLst>
              <a:ext uri="{FF2B5EF4-FFF2-40B4-BE49-F238E27FC236}">
                <a16:creationId xmlns:a16="http://schemas.microsoft.com/office/drawing/2014/main" id="{00000000-0008-0000-0700-0000147655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600806" name="Arc 234">
              <a:extLst>
                <a:ext uri="{FF2B5EF4-FFF2-40B4-BE49-F238E27FC236}">
                  <a16:creationId xmlns:a16="http://schemas.microsoft.com/office/drawing/2014/main" id="{00000000-0008-0000-0700-000026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807" name="Group 235">
              <a:extLst>
                <a:ext uri="{FF2B5EF4-FFF2-40B4-BE49-F238E27FC236}">
                  <a16:creationId xmlns:a16="http://schemas.microsoft.com/office/drawing/2014/main" id="{00000000-0008-0000-0700-000027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808" name="Line 236">
                <a:extLst>
                  <a:ext uri="{FF2B5EF4-FFF2-40B4-BE49-F238E27FC236}">
                    <a16:creationId xmlns:a16="http://schemas.microsoft.com/office/drawing/2014/main" id="{00000000-0008-0000-0700-000028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9" name="Line 237">
                <a:extLst>
                  <a:ext uri="{FF2B5EF4-FFF2-40B4-BE49-F238E27FC236}">
                    <a16:creationId xmlns:a16="http://schemas.microsoft.com/office/drawing/2014/main" id="{00000000-0008-0000-0700-000029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0" name="Line 238">
                <a:extLst>
                  <a:ext uri="{FF2B5EF4-FFF2-40B4-BE49-F238E27FC236}">
                    <a16:creationId xmlns:a16="http://schemas.microsoft.com/office/drawing/2014/main" id="{00000000-0008-0000-0700-00002A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1" name="Line 239">
                <a:extLst>
                  <a:ext uri="{FF2B5EF4-FFF2-40B4-BE49-F238E27FC236}">
                    <a16:creationId xmlns:a16="http://schemas.microsoft.com/office/drawing/2014/main" id="{00000000-0008-0000-0700-00002B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12" name="Line 240">
                <a:extLst>
                  <a:ext uri="{FF2B5EF4-FFF2-40B4-BE49-F238E27FC236}">
                    <a16:creationId xmlns:a16="http://schemas.microsoft.com/office/drawing/2014/main" id="{00000000-0008-0000-0700-00002C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grpSp>
        <xdr:nvGrpSpPr>
          <xdr:cNvPr id="5600789" name="Group 241">
            <a:extLst>
              <a:ext uri="{FF2B5EF4-FFF2-40B4-BE49-F238E27FC236}">
                <a16:creationId xmlns:a16="http://schemas.microsoft.com/office/drawing/2014/main" id="{00000000-0008-0000-0700-0000157655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600799" name="Arc 242">
              <a:extLst>
                <a:ext uri="{FF2B5EF4-FFF2-40B4-BE49-F238E27FC236}">
                  <a16:creationId xmlns:a16="http://schemas.microsoft.com/office/drawing/2014/main" id="{00000000-0008-0000-0700-00001F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800" name="Group 243">
              <a:extLst>
                <a:ext uri="{FF2B5EF4-FFF2-40B4-BE49-F238E27FC236}">
                  <a16:creationId xmlns:a16="http://schemas.microsoft.com/office/drawing/2014/main" id="{00000000-0008-0000-0700-000020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801" name="Line 244">
                <a:extLst>
                  <a:ext uri="{FF2B5EF4-FFF2-40B4-BE49-F238E27FC236}">
                    <a16:creationId xmlns:a16="http://schemas.microsoft.com/office/drawing/2014/main" id="{00000000-0008-0000-0700-000021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2" name="Line 245">
                <a:extLst>
                  <a:ext uri="{FF2B5EF4-FFF2-40B4-BE49-F238E27FC236}">
                    <a16:creationId xmlns:a16="http://schemas.microsoft.com/office/drawing/2014/main" id="{00000000-0008-0000-0700-000022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3" name="Line 246">
                <a:extLst>
                  <a:ext uri="{FF2B5EF4-FFF2-40B4-BE49-F238E27FC236}">
                    <a16:creationId xmlns:a16="http://schemas.microsoft.com/office/drawing/2014/main" id="{00000000-0008-0000-0700-000023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4" name="Line 247">
                <a:extLst>
                  <a:ext uri="{FF2B5EF4-FFF2-40B4-BE49-F238E27FC236}">
                    <a16:creationId xmlns:a16="http://schemas.microsoft.com/office/drawing/2014/main" id="{00000000-0008-0000-0700-000024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805" name="Line 248">
                <a:extLst>
                  <a:ext uri="{FF2B5EF4-FFF2-40B4-BE49-F238E27FC236}">
                    <a16:creationId xmlns:a16="http://schemas.microsoft.com/office/drawing/2014/main" id="{00000000-0008-0000-0700-000025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600790" name="Line 249">
            <a:extLst>
              <a:ext uri="{FF2B5EF4-FFF2-40B4-BE49-F238E27FC236}">
                <a16:creationId xmlns:a16="http://schemas.microsoft.com/office/drawing/2014/main" id="{00000000-0008-0000-0700-0000167655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1" name="Line 250">
            <a:extLst>
              <a:ext uri="{FF2B5EF4-FFF2-40B4-BE49-F238E27FC236}">
                <a16:creationId xmlns:a16="http://schemas.microsoft.com/office/drawing/2014/main" id="{00000000-0008-0000-0700-0000177655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2" name="Line 251">
            <a:extLst>
              <a:ext uri="{FF2B5EF4-FFF2-40B4-BE49-F238E27FC236}">
                <a16:creationId xmlns:a16="http://schemas.microsoft.com/office/drawing/2014/main" id="{00000000-0008-0000-0700-0000187655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3" name="Line 252">
            <a:extLst>
              <a:ext uri="{FF2B5EF4-FFF2-40B4-BE49-F238E27FC236}">
                <a16:creationId xmlns:a16="http://schemas.microsoft.com/office/drawing/2014/main" id="{00000000-0008-0000-0700-000019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4" name="Line 253">
            <a:extLst>
              <a:ext uri="{FF2B5EF4-FFF2-40B4-BE49-F238E27FC236}">
                <a16:creationId xmlns:a16="http://schemas.microsoft.com/office/drawing/2014/main" id="{00000000-0008-0000-0700-00001A7655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5" name="Line 254">
            <a:extLst>
              <a:ext uri="{FF2B5EF4-FFF2-40B4-BE49-F238E27FC236}">
                <a16:creationId xmlns:a16="http://schemas.microsoft.com/office/drawing/2014/main" id="{00000000-0008-0000-0700-00001B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6" name="Line 255">
            <a:extLst>
              <a:ext uri="{FF2B5EF4-FFF2-40B4-BE49-F238E27FC236}">
                <a16:creationId xmlns:a16="http://schemas.microsoft.com/office/drawing/2014/main" id="{00000000-0008-0000-0700-00001C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7" name="Line 256">
            <a:extLst>
              <a:ext uri="{FF2B5EF4-FFF2-40B4-BE49-F238E27FC236}">
                <a16:creationId xmlns:a16="http://schemas.microsoft.com/office/drawing/2014/main" id="{00000000-0008-0000-0700-00001D76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98" name="Line 257">
            <a:extLst>
              <a:ext uri="{FF2B5EF4-FFF2-40B4-BE49-F238E27FC236}">
                <a16:creationId xmlns:a16="http://schemas.microsoft.com/office/drawing/2014/main" id="{00000000-0008-0000-0700-00001E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901700</xdr:colOff>
      <xdr:row>84</xdr:row>
      <xdr:rowOff>101600</xdr:rowOff>
    </xdr:from>
    <xdr:to>
      <xdr:col>6</xdr:col>
      <xdr:colOff>1689100</xdr:colOff>
      <xdr:row>84</xdr:row>
      <xdr:rowOff>101600</xdr:rowOff>
    </xdr:to>
    <xdr:sp macro="" textlink="">
      <xdr:nvSpPr>
        <xdr:cNvPr id="5600685" name="Line 268">
          <a:extLst>
            <a:ext uri="{FF2B5EF4-FFF2-40B4-BE49-F238E27FC236}">
              <a16:creationId xmlns:a16="http://schemas.microsoft.com/office/drawing/2014/main" id="{00000000-0008-0000-0700-0000AD755500}"/>
            </a:ext>
          </a:extLst>
        </xdr:cNvPr>
        <xdr:cNvSpPr>
          <a:spLocks noChangeShapeType="1"/>
        </xdr:cNvSpPr>
      </xdr:nvSpPr>
      <xdr:spPr bwMode="auto">
        <a:xfrm flipV="1">
          <a:off x="5575300" y="14249400"/>
          <a:ext cx="787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80</xdr:row>
      <xdr:rowOff>0</xdr:rowOff>
    </xdr:from>
    <xdr:to>
      <xdr:col>8</xdr:col>
      <xdr:colOff>711200</xdr:colOff>
      <xdr:row>80</xdr:row>
      <xdr:rowOff>0</xdr:rowOff>
    </xdr:to>
    <xdr:sp macro="" textlink="">
      <xdr:nvSpPr>
        <xdr:cNvPr id="5600686" name="Line 269">
          <a:extLst>
            <a:ext uri="{FF2B5EF4-FFF2-40B4-BE49-F238E27FC236}">
              <a16:creationId xmlns:a16="http://schemas.microsoft.com/office/drawing/2014/main" id="{00000000-0008-0000-0700-0000AE755500}"/>
            </a:ext>
          </a:extLst>
        </xdr:cNvPr>
        <xdr:cNvSpPr>
          <a:spLocks noChangeShapeType="1"/>
        </xdr:cNvSpPr>
      </xdr:nvSpPr>
      <xdr:spPr bwMode="auto">
        <a:xfrm flipV="1">
          <a:off x="4838700" y="13449300"/>
          <a:ext cx="2882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241300</xdr:colOff>
      <xdr:row>80</xdr:row>
      <xdr:rowOff>12700</xdr:rowOff>
    </xdr:from>
    <xdr:to>
      <xdr:col>8</xdr:col>
      <xdr:colOff>241300</xdr:colOff>
      <xdr:row>93</xdr:row>
      <xdr:rowOff>88900</xdr:rowOff>
    </xdr:to>
    <xdr:sp macro="" textlink="">
      <xdr:nvSpPr>
        <xdr:cNvPr id="5600687" name="Line 270">
          <a:extLst>
            <a:ext uri="{FF2B5EF4-FFF2-40B4-BE49-F238E27FC236}">
              <a16:creationId xmlns:a16="http://schemas.microsoft.com/office/drawing/2014/main" id="{00000000-0008-0000-0700-0000AF755500}"/>
            </a:ext>
          </a:extLst>
        </xdr:cNvPr>
        <xdr:cNvSpPr>
          <a:spLocks noChangeShapeType="1"/>
        </xdr:cNvSpPr>
      </xdr:nvSpPr>
      <xdr:spPr bwMode="auto">
        <a:xfrm>
          <a:off x="7454900" y="13462000"/>
          <a:ext cx="0" cy="2298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152400</xdr:colOff>
      <xdr:row>83</xdr:row>
      <xdr:rowOff>50800</xdr:rowOff>
    </xdr:from>
    <xdr:to>
      <xdr:col>6</xdr:col>
      <xdr:colOff>914400</xdr:colOff>
      <xdr:row>83</xdr:row>
      <xdr:rowOff>50800</xdr:rowOff>
    </xdr:to>
    <xdr:sp macro="" textlink="">
      <xdr:nvSpPr>
        <xdr:cNvPr id="5600688" name="Line 271">
          <a:extLst>
            <a:ext uri="{FF2B5EF4-FFF2-40B4-BE49-F238E27FC236}">
              <a16:creationId xmlns:a16="http://schemas.microsoft.com/office/drawing/2014/main" id="{00000000-0008-0000-0700-0000B0755500}"/>
            </a:ext>
          </a:extLst>
        </xdr:cNvPr>
        <xdr:cNvSpPr>
          <a:spLocks noChangeShapeType="1"/>
        </xdr:cNvSpPr>
      </xdr:nvSpPr>
      <xdr:spPr bwMode="auto">
        <a:xfrm>
          <a:off x="4826000" y="14020800"/>
          <a:ext cx="762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165100</xdr:colOff>
      <xdr:row>80</xdr:row>
      <xdr:rowOff>0</xdr:rowOff>
    </xdr:from>
    <xdr:to>
      <xdr:col>6</xdr:col>
      <xdr:colOff>165100</xdr:colOff>
      <xdr:row>83</xdr:row>
      <xdr:rowOff>50800</xdr:rowOff>
    </xdr:to>
    <xdr:sp macro="" textlink="">
      <xdr:nvSpPr>
        <xdr:cNvPr id="5600689" name="Line 272">
          <a:extLst>
            <a:ext uri="{FF2B5EF4-FFF2-40B4-BE49-F238E27FC236}">
              <a16:creationId xmlns:a16="http://schemas.microsoft.com/office/drawing/2014/main" id="{00000000-0008-0000-0700-0000B1755500}"/>
            </a:ext>
          </a:extLst>
        </xdr:cNvPr>
        <xdr:cNvSpPr>
          <a:spLocks noChangeShapeType="1"/>
        </xdr:cNvSpPr>
      </xdr:nvSpPr>
      <xdr:spPr bwMode="auto">
        <a:xfrm>
          <a:off x="4838700" y="13449300"/>
          <a:ext cx="0" cy="5715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850900</xdr:colOff>
      <xdr:row>102</xdr:row>
      <xdr:rowOff>101600</xdr:rowOff>
    </xdr:from>
    <xdr:to>
      <xdr:col>8</xdr:col>
      <xdr:colOff>596900</xdr:colOff>
      <xdr:row>102</xdr:row>
      <xdr:rowOff>101600</xdr:rowOff>
    </xdr:to>
    <xdr:sp macro="" textlink="">
      <xdr:nvSpPr>
        <xdr:cNvPr id="5600690" name="Line 277">
          <a:extLst>
            <a:ext uri="{FF2B5EF4-FFF2-40B4-BE49-F238E27FC236}">
              <a16:creationId xmlns:a16="http://schemas.microsoft.com/office/drawing/2014/main" id="{00000000-0008-0000-0700-0000B2755500}"/>
            </a:ext>
          </a:extLst>
        </xdr:cNvPr>
        <xdr:cNvSpPr>
          <a:spLocks noChangeShapeType="1"/>
        </xdr:cNvSpPr>
      </xdr:nvSpPr>
      <xdr:spPr bwMode="auto">
        <a:xfrm>
          <a:off x="7213600" y="17310100"/>
          <a:ext cx="508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12700</xdr:colOff>
      <xdr:row>98</xdr:row>
      <xdr:rowOff>139700</xdr:rowOff>
    </xdr:from>
    <xdr:to>
      <xdr:col>8</xdr:col>
      <xdr:colOff>508000</xdr:colOff>
      <xdr:row>98</xdr:row>
      <xdr:rowOff>139700</xdr:rowOff>
    </xdr:to>
    <xdr:sp macro="" textlink="">
      <xdr:nvSpPr>
        <xdr:cNvPr id="5600691" name="Line 278">
          <a:extLst>
            <a:ext uri="{FF2B5EF4-FFF2-40B4-BE49-F238E27FC236}">
              <a16:creationId xmlns:a16="http://schemas.microsoft.com/office/drawing/2014/main" id="{00000000-0008-0000-0700-0000B3755500}"/>
            </a:ext>
          </a:extLst>
        </xdr:cNvPr>
        <xdr:cNvSpPr>
          <a:spLocks noChangeShapeType="1"/>
        </xdr:cNvSpPr>
      </xdr:nvSpPr>
      <xdr:spPr bwMode="auto">
        <a:xfrm>
          <a:off x="7226300" y="16662400"/>
          <a:ext cx="495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93</xdr:row>
      <xdr:rowOff>76200</xdr:rowOff>
    </xdr:from>
    <xdr:to>
      <xdr:col>8</xdr:col>
      <xdr:colOff>596900</xdr:colOff>
      <xdr:row>93</xdr:row>
      <xdr:rowOff>76200</xdr:rowOff>
    </xdr:to>
    <xdr:sp macro="" textlink="">
      <xdr:nvSpPr>
        <xdr:cNvPr id="5600692" name="Line 279">
          <a:extLst>
            <a:ext uri="{FF2B5EF4-FFF2-40B4-BE49-F238E27FC236}">
              <a16:creationId xmlns:a16="http://schemas.microsoft.com/office/drawing/2014/main" id="{00000000-0008-0000-0700-0000B4755500}"/>
            </a:ext>
          </a:extLst>
        </xdr:cNvPr>
        <xdr:cNvSpPr>
          <a:spLocks noChangeShapeType="1"/>
        </xdr:cNvSpPr>
      </xdr:nvSpPr>
      <xdr:spPr bwMode="auto">
        <a:xfrm flipV="1">
          <a:off x="5194300" y="15748000"/>
          <a:ext cx="25273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99</xdr:row>
      <xdr:rowOff>152400</xdr:rowOff>
    </xdr:from>
    <xdr:to>
      <xdr:col>6</xdr:col>
      <xdr:colOff>1562100</xdr:colOff>
      <xdr:row>99</xdr:row>
      <xdr:rowOff>152400</xdr:rowOff>
    </xdr:to>
    <xdr:sp macro="" textlink="">
      <xdr:nvSpPr>
        <xdr:cNvPr id="5600693" name="Line 280">
          <a:extLst>
            <a:ext uri="{FF2B5EF4-FFF2-40B4-BE49-F238E27FC236}">
              <a16:creationId xmlns:a16="http://schemas.microsoft.com/office/drawing/2014/main" id="{00000000-0008-0000-0700-0000B5755500}"/>
            </a:ext>
          </a:extLst>
        </xdr:cNvPr>
        <xdr:cNvSpPr>
          <a:spLocks noChangeShapeType="1"/>
        </xdr:cNvSpPr>
      </xdr:nvSpPr>
      <xdr:spPr bwMode="auto">
        <a:xfrm flipV="1">
          <a:off x="5194300" y="16840200"/>
          <a:ext cx="1041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520700</xdr:colOff>
      <xdr:row>93</xdr:row>
      <xdr:rowOff>76200</xdr:rowOff>
    </xdr:from>
    <xdr:to>
      <xdr:col>6</xdr:col>
      <xdr:colOff>520700</xdr:colOff>
      <xdr:row>100</xdr:row>
      <xdr:rowOff>0</xdr:rowOff>
    </xdr:to>
    <xdr:sp macro="" textlink="">
      <xdr:nvSpPr>
        <xdr:cNvPr id="5600694" name="Line 281">
          <a:extLst>
            <a:ext uri="{FF2B5EF4-FFF2-40B4-BE49-F238E27FC236}">
              <a16:creationId xmlns:a16="http://schemas.microsoft.com/office/drawing/2014/main" id="{00000000-0008-0000-0700-0000B6755500}"/>
            </a:ext>
          </a:extLst>
        </xdr:cNvPr>
        <xdr:cNvSpPr>
          <a:spLocks noChangeShapeType="1"/>
        </xdr:cNvSpPr>
      </xdr:nvSpPr>
      <xdr:spPr bwMode="auto">
        <a:xfrm>
          <a:off x="5194300" y="15748000"/>
          <a:ext cx="0" cy="11176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98</xdr:row>
      <xdr:rowOff>139700</xdr:rowOff>
    </xdr:from>
    <xdr:to>
      <xdr:col>8</xdr:col>
      <xdr:colOff>533400</xdr:colOff>
      <xdr:row>102</xdr:row>
      <xdr:rowOff>101600</xdr:rowOff>
    </xdr:to>
    <xdr:sp macro="" textlink="">
      <xdr:nvSpPr>
        <xdr:cNvPr id="5600695" name="Line 282">
          <a:extLst>
            <a:ext uri="{FF2B5EF4-FFF2-40B4-BE49-F238E27FC236}">
              <a16:creationId xmlns:a16="http://schemas.microsoft.com/office/drawing/2014/main" id="{00000000-0008-0000-0700-0000B7755500}"/>
            </a:ext>
          </a:extLst>
        </xdr:cNvPr>
        <xdr:cNvSpPr>
          <a:spLocks noChangeShapeType="1"/>
        </xdr:cNvSpPr>
      </xdr:nvSpPr>
      <xdr:spPr bwMode="auto">
        <a:xfrm>
          <a:off x="7721600" y="16662400"/>
          <a:ext cx="0" cy="647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93</xdr:row>
      <xdr:rowOff>63500</xdr:rowOff>
    </xdr:from>
    <xdr:to>
      <xdr:col>8</xdr:col>
      <xdr:colOff>533400</xdr:colOff>
      <xdr:row>98</xdr:row>
      <xdr:rowOff>139700</xdr:rowOff>
    </xdr:to>
    <xdr:sp macro="" textlink="">
      <xdr:nvSpPr>
        <xdr:cNvPr id="5600696" name="Line 283">
          <a:extLst>
            <a:ext uri="{FF2B5EF4-FFF2-40B4-BE49-F238E27FC236}">
              <a16:creationId xmlns:a16="http://schemas.microsoft.com/office/drawing/2014/main" id="{00000000-0008-0000-0700-0000B8755500}"/>
            </a:ext>
          </a:extLst>
        </xdr:cNvPr>
        <xdr:cNvSpPr>
          <a:spLocks noChangeShapeType="1"/>
        </xdr:cNvSpPr>
      </xdr:nvSpPr>
      <xdr:spPr bwMode="auto">
        <a:xfrm>
          <a:off x="7721600" y="15735300"/>
          <a:ext cx="0" cy="9271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102</xdr:row>
      <xdr:rowOff>101600</xdr:rowOff>
    </xdr:from>
    <xdr:to>
      <xdr:col>8</xdr:col>
      <xdr:colOff>0</xdr:colOff>
      <xdr:row>103</xdr:row>
      <xdr:rowOff>0</xdr:rowOff>
    </xdr:to>
    <xdr:sp macro="" textlink="">
      <xdr:nvSpPr>
        <xdr:cNvPr id="5600697" name="Line 284">
          <a:extLst>
            <a:ext uri="{FF2B5EF4-FFF2-40B4-BE49-F238E27FC236}">
              <a16:creationId xmlns:a16="http://schemas.microsoft.com/office/drawing/2014/main" id="{00000000-0008-0000-0700-0000B9755500}"/>
            </a:ext>
          </a:extLst>
        </xdr:cNvPr>
        <xdr:cNvSpPr>
          <a:spLocks noChangeShapeType="1"/>
        </xdr:cNvSpPr>
      </xdr:nvSpPr>
      <xdr:spPr bwMode="auto">
        <a:xfrm flipV="1">
          <a:off x="7213600" y="17310100"/>
          <a:ext cx="0" cy="635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1562100</xdr:colOff>
      <xdr:row>99</xdr:row>
      <xdr:rowOff>139700</xdr:rowOff>
    </xdr:from>
    <xdr:to>
      <xdr:col>6</xdr:col>
      <xdr:colOff>1562100</xdr:colOff>
      <xdr:row>103</xdr:row>
      <xdr:rowOff>0</xdr:rowOff>
    </xdr:to>
    <xdr:sp macro="" textlink="">
      <xdr:nvSpPr>
        <xdr:cNvPr id="5600698" name="Line 285">
          <a:extLst>
            <a:ext uri="{FF2B5EF4-FFF2-40B4-BE49-F238E27FC236}">
              <a16:creationId xmlns:a16="http://schemas.microsoft.com/office/drawing/2014/main" id="{00000000-0008-0000-0700-0000BA755500}"/>
            </a:ext>
          </a:extLst>
        </xdr:cNvPr>
        <xdr:cNvSpPr>
          <a:spLocks noChangeShapeType="1"/>
        </xdr:cNvSpPr>
      </xdr:nvSpPr>
      <xdr:spPr bwMode="auto">
        <a:xfrm flipH="1" flipV="1">
          <a:off x="6235700" y="16827500"/>
          <a:ext cx="0" cy="5461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1549400</xdr:colOff>
      <xdr:row>103</xdr:row>
      <xdr:rowOff>0</xdr:rowOff>
    </xdr:from>
    <xdr:to>
      <xdr:col>8</xdr:col>
      <xdr:colOff>0</xdr:colOff>
      <xdr:row>103</xdr:row>
      <xdr:rowOff>0</xdr:rowOff>
    </xdr:to>
    <xdr:sp macro="" textlink="">
      <xdr:nvSpPr>
        <xdr:cNvPr id="5600699" name="Line 286">
          <a:extLst>
            <a:ext uri="{FF2B5EF4-FFF2-40B4-BE49-F238E27FC236}">
              <a16:creationId xmlns:a16="http://schemas.microsoft.com/office/drawing/2014/main" id="{00000000-0008-0000-0700-0000BB755500}"/>
            </a:ext>
          </a:extLst>
        </xdr:cNvPr>
        <xdr:cNvSpPr>
          <a:spLocks noChangeShapeType="1"/>
        </xdr:cNvSpPr>
      </xdr:nvSpPr>
      <xdr:spPr bwMode="auto">
        <a:xfrm>
          <a:off x="6223000" y="17373600"/>
          <a:ext cx="9906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749300</xdr:colOff>
      <xdr:row>89</xdr:row>
      <xdr:rowOff>76200</xdr:rowOff>
    </xdr:from>
    <xdr:to>
      <xdr:col>6</xdr:col>
      <xdr:colOff>1854200</xdr:colOff>
      <xdr:row>89</xdr:row>
      <xdr:rowOff>76200</xdr:rowOff>
    </xdr:to>
    <xdr:sp macro="" textlink="">
      <xdr:nvSpPr>
        <xdr:cNvPr id="5600700" name="Line 287">
          <a:extLst>
            <a:ext uri="{FF2B5EF4-FFF2-40B4-BE49-F238E27FC236}">
              <a16:creationId xmlns:a16="http://schemas.microsoft.com/office/drawing/2014/main" id="{00000000-0008-0000-0700-0000BC755500}"/>
            </a:ext>
          </a:extLst>
        </xdr:cNvPr>
        <xdr:cNvSpPr>
          <a:spLocks noChangeShapeType="1"/>
        </xdr:cNvSpPr>
      </xdr:nvSpPr>
      <xdr:spPr bwMode="auto">
        <a:xfrm>
          <a:off x="5422900" y="15074900"/>
          <a:ext cx="11049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1079500</xdr:colOff>
      <xdr:row>93</xdr:row>
      <xdr:rowOff>25400</xdr:rowOff>
    </xdr:from>
    <xdr:to>
      <xdr:col>6</xdr:col>
      <xdr:colOff>1524000</xdr:colOff>
      <xdr:row>93</xdr:row>
      <xdr:rowOff>25400</xdr:rowOff>
    </xdr:to>
    <xdr:sp macro="" textlink="">
      <xdr:nvSpPr>
        <xdr:cNvPr id="5600701" name="Line 288">
          <a:extLst>
            <a:ext uri="{FF2B5EF4-FFF2-40B4-BE49-F238E27FC236}">
              <a16:creationId xmlns:a16="http://schemas.microsoft.com/office/drawing/2014/main" id="{00000000-0008-0000-0700-0000BD755500}"/>
            </a:ext>
          </a:extLst>
        </xdr:cNvPr>
        <xdr:cNvSpPr>
          <a:spLocks noChangeShapeType="1"/>
        </xdr:cNvSpPr>
      </xdr:nvSpPr>
      <xdr:spPr bwMode="auto">
        <a:xfrm>
          <a:off x="5753100" y="15697200"/>
          <a:ext cx="4445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927100</xdr:colOff>
      <xdr:row>87</xdr:row>
      <xdr:rowOff>63500</xdr:rowOff>
    </xdr:from>
    <xdr:to>
      <xdr:col>8</xdr:col>
      <xdr:colOff>50800</xdr:colOff>
      <xdr:row>87</xdr:row>
      <xdr:rowOff>63500</xdr:rowOff>
    </xdr:to>
    <xdr:sp macro="" textlink="">
      <xdr:nvSpPr>
        <xdr:cNvPr id="5600702" name="Line 289">
          <a:extLst>
            <a:ext uri="{FF2B5EF4-FFF2-40B4-BE49-F238E27FC236}">
              <a16:creationId xmlns:a16="http://schemas.microsoft.com/office/drawing/2014/main" id="{00000000-0008-0000-0700-0000BE755500}"/>
            </a:ext>
          </a:extLst>
        </xdr:cNvPr>
        <xdr:cNvSpPr>
          <a:spLocks noChangeShapeType="1"/>
        </xdr:cNvSpPr>
      </xdr:nvSpPr>
      <xdr:spPr bwMode="auto">
        <a:xfrm>
          <a:off x="5600700" y="14719300"/>
          <a:ext cx="16637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88</xdr:row>
      <xdr:rowOff>63500</xdr:rowOff>
    </xdr:from>
    <xdr:to>
      <xdr:col>8</xdr:col>
      <xdr:colOff>63500</xdr:colOff>
      <xdr:row>88</xdr:row>
      <xdr:rowOff>63500</xdr:rowOff>
    </xdr:to>
    <xdr:sp macro="" textlink="">
      <xdr:nvSpPr>
        <xdr:cNvPr id="5600703" name="Line 290">
          <a:extLst>
            <a:ext uri="{FF2B5EF4-FFF2-40B4-BE49-F238E27FC236}">
              <a16:creationId xmlns:a16="http://schemas.microsoft.com/office/drawing/2014/main" id="{00000000-0008-0000-0700-0000BF755500}"/>
            </a:ext>
          </a:extLst>
        </xdr:cNvPr>
        <xdr:cNvSpPr>
          <a:spLocks noChangeShapeType="1"/>
        </xdr:cNvSpPr>
      </xdr:nvSpPr>
      <xdr:spPr bwMode="auto">
        <a:xfrm>
          <a:off x="5435600" y="14884400"/>
          <a:ext cx="1841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762000</xdr:colOff>
      <xdr:row>90</xdr:row>
      <xdr:rowOff>139700</xdr:rowOff>
    </xdr:from>
    <xdr:to>
      <xdr:col>8</xdr:col>
      <xdr:colOff>76200</xdr:colOff>
      <xdr:row>90</xdr:row>
      <xdr:rowOff>139700</xdr:rowOff>
    </xdr:to>
    <xdr:sp macro="" textlink="">
      <xdr:nvSpPr>
        <xdr:cNvPr id="5600704" name="Line 291">
          <a:extLst>
            <a:ext uri="{FF2B5EF4-FFF2-40B4-BE49-F238E27FC236}">
              <a16:creationId xmlns:a16="http://schemas.microsoft.com/office/drawing/2014/main" id="{00000000-0008-0000-0700-0000C0755500}"/>
            </a:ext>
          </a:extLst>
        </xdr:cNvPr>
        <xdr:cNvSpPr>
          <a:spLocks noChangeShapeType="1"/>
        </xdr:cNvSpPr>
      </xdr:nvSpPr>
      <xdr:spPr bwMode="auto">
        <a:xfrm>
          <a:off x="5435600" y="15316200"/>
          <a:ext cx="18542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1066800</xdr:colOff>
      <xdr:row>92</xdr:row>
      <xdr:rowOff>50800</xdr:rowOff>
    </xdr:from>
    <xdr:to>
      <xdr:col>8</xdr:col>
      <xdr:colOff>50800</xdr:colOff>
      <xdr:row>92</xdr:row>
      <xdr:rowOff>50800</xdr:rowOff>
    </xdr:to>
    <xdr:sp macro="" textlink="">
      <xdr:nvSpPr>
        <xdr:cNvPr id="5600705" name="Line 292">
          <a:extLst>
            <a:ext uri="{FF2B5EF4-FFF2-40B4-BE49-F238E27FC236}">
              <a16:creationId xmlns:a16="http://schemas.microsoft.com/office/drawing/2014/main" id="{00000000-0008-0000-0700-0000C1755500}"/>
            </a:ext>
          </a:extLst>
        </xdr:cNvPr>
        <xdr:cNvSpPr>
          <a:spLocks noChangeShapeType="1"/>
        </xdr:cNvSpPr>
      </xdr:nvSpPr>
      <xdr:spPr bwMode="auto">
        <a:xfrm>
          <a:off x="5740400" y="15557500"/>
          <a:ext cx="15240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1955800</xdr:colOff>
      <xdr:row>80</xdr:row>
      <xdr:rowOff>0</xdr:rowOff>
    </xdr:from>
    <xdr:to>
      <xdr:col>6</xdr:col>
      <xdr:colOff>1955800</xdr:colOff>
      <xdr:row>87</xdr:row>
      <xdr:rowOff>63500</xdr:rowOff>
    </xdr:to>
    <xdr:sp macro="" textlink="">
      <xdr:nvSpPr>
        <xdr:cNvPr id="5600706" name="Line 293">
          <a:extLst>
            <a:ext uri="{FF2B5EF4-FFF2-40B4-BE49-F238E27FC236}">
              <a16:creationId xmlns:a16="http://schemas.microsoft.com/office/drawing/2014/main" id="{00000000-0008-0000-0700-0000C2755500}"/>
            </a:ext>
          </a:extLst>
        </xdr:cNvPr>
        <xdr:cNvSpPr>
          <a:spLocks noChangeShapeType="1"/>
        </xdr:cNvSpPr>
      </xdr:nvSpPr>
      <xdr:spPr bwMode="auto">
        <a:xfrm>
          <a:off x="6629400" y="13449300"/>
          <a:ext cx="0" cy="12700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80</xdr:row>
      <xdr:rowOff>0</xdr:rowOff>
    </xdr:from>
    <xdr:to>
      <xdr:col>7</xdr:col>
      <xdr:colOff>203200</xdr:colOff>
      <xdr:row>90</xdr:row>
      <xdr:rowOff>139700</xdr:rowOff>
    </xdr:to>
    <xdr:sp macro="" textlink="">
      <xdr:nvSpPr>
        <xdr:cNvPr id="5600707" name="Line 294">
          <a:extLst>
            <a:ext uri="{FF2B5EF4-FFF2-40B4-BE49-F238E27FC236}">
              <a16:creationId xmlns:a16="http://schemas.microsoft.com/office/drawing/2014/main" id="{00000000-0008-0000-0700-0000C3755500}"/>
            </a:ext>
          </a:extLst>
        </xdr:cNvPr>
        <xdr:cNvSpPr>
          <a:spLocks noChangeShapeType="1"/>
        </xdr:cNvSpPr>
      </xdr:nvSpPr>
      <xdr:spPr bwMode="auto">
        <a:xfrm>
          <a:off x="6908800" y="13449300"/>
          <a:ext cx="0" cy="18669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87</xdr:row>
      <xdr:rowOff>63500</xdr:rowOff>
    </xdr:from>
    <xdr:to>
      <xdr:col>8</xdr:col>
      <xdr:colOff>50800</xdr:colOff>
      <xdr:row>88</xdr:row>
      <xdr:rowOff>63500</xdr:rowOff>
    </xdr:to>
    <xdr:sp macro="" textlink="">
      <xdr:nvSpPr>
        <xdr:cNvPr id="5600708" name="Line 295">
          <a:extLst>
            <a:ext uri="{FF2B5EF4-FFF2-40B4-BE49-F238E27FC236}">
              <a16:creationId xmlns:a16="http://schemas.microsoft.com/office/drawing/2014/main" id="{00000000-0008-0000-0700-0000C4755500}"/>
            </a:ext>
          </a:extLst>
        </xdr:cNvPr>
        <xdr:cNvSpPr>
          <a:spLocks noChangeShapeType="1"/>
        </xdr:cNvSpPr>
      </xdr:nvSpPr>
      <xdr:spPr bwMode="auto">
        <a:xfrm>
          <a:off x="7264400" y="1471930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90</xdr:row>
      <xdr:rowOff>139700</xdr:rowOff>
    </xdr:from>
    <xdr:to>
      <xdr:col>8</xdr:col>
      <xdr:colOff>50800</xdr:colOff>
      <xdr:row>92</xdr:row>
      <xdr:rowOff>50800</xdr:rowOff>
    </xdr:to>
    <xdr:sp macro="" textlink="">
      <xdr:nvSpPr>
        <xdr:cNvPr id="5600709" name="Line 296">
          <a:extLst>
            <a:ext uri="{FF2B5EF4-FFF2-40B4-BE49-F238E27FC236}">
              <a16:creationId xmlns:a16="http://schemas.microsoft.com/office/drawing/2014/main" id="{00000000-0008-0000-0700-0000C5755500}"/>
            </a:ext>
          </a:extLst>
        </xdr:cNvPr>
        <xdr:cNvSpPr>
          <a:spLocks noChangeShapeType="1"/>
        </xdr:cNvSpPr>
      </xdr:nvSpPr>
      <xdr:spPr bwMode="auto">
        <a:xfrm>
          <a:off x="7264400" y="15316200"/>
          <a:ext cx="0" cy="2413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84</xdr:row>
      <xdr:rowOff>101600</xdr:rowOff>
    </xdr:from>
    <xdr:to>
      <xdr:col>6</xdr:col>
      <xdr:colOff>914400</xdr:colOff>
      <xdr:row>84</xdr:row>
      <xdr:rowOff>101600</xdr:rowOff>
    </xdr:to>
    <xdr:sp macro="" textlink="">
      <xdr:nvSpPr>
        <xdr:cNvPr id="5600710" name="Line 297">
          <a:extLst>
            <a:ext uri="{FF2B5EF4-FFF2-40B4-BE49-F238E27FC236}">
              <a16:creationId xmlns:a16="http://schemas.microsoft.com/office/drawing/2014/main" id="{00000000-0008-0000-0700-0000C6755500}"/>
            </a:ext>
          </a:extLst>
        </xdr:cNvPr>
        <xdr:cNvSpPr>
          <a:spLocks noChangeShapeType="1"/>
        </xdr:cNvSpPr>
      </xdr:nvSpPr>
      <xdr:spPr bwMode="auto">
        <a:xfrm>
          <a:off x="4673600" y="142494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89</xdr:row>
      <xdr:rowOff>76200</xdr:rowOff>
    </xdr:from>
    <xdr:to>
      <xdr:col>6</xdr:col>
      <xdr:colOff>749300</xdr:colOff>
      <xdr:row>89</xdr:row>
      <xdr:rowOff>76200</xdr:rowOff>
    </xdr:to>
    <xdr:sp macro="" textlink="">
      <xdr:nvSpPr>
        <xdr:cNvPr id="5600711" name="Line 298">
          <a:extLst>
            <a:ext uri="{FF2B5EF4-FFF2-40B4-BE49-F238E27FC236}">
              <a16:creationId xmlns:a16="http://schemas.microsoft.com/office/drawing/2014/main" id="{00000000-0008-0000-0700-0000C7755500}"/>
            </a:ext>
          </a:extLst>
        </xdr:cNvPr>
        <xdr:cNvSpPr>
          <a:spLocks noChangeShapeType="1"/>
        </xdr:cNvSpPr>
      </xdr:nvSpPr>
      <xdr:spPr bwMode="auto">
        <a:xfrm>
          <a:off x="4673600" y="150749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93</xdr:row>
      <xdr:rowOff>25400</xdr:rowOff>
    </xdr:from>
    <xdr:to>
      <xdr:col>6</xdr:col>
      <xdr:colOff>1066800</xdr:colOff>
      <xdr:row>93</xdr:row>
      <xdr:rowOff>25400</xdr:rowOff>
    </xdr:to>
    <xdr:sp macro="" textlink="">
      <xdr:nvSpPr>
        <xdr:cNvPr id="5600712" name="Line 299">
          <a:extLst>
            <a:ext uri="{FF2B5EF4-FFF2-40B4-BE49-F238E27FC236}">
              <a16:creationId xmlns:a16="http://schemas.microsoft.com/office/drawing/2014/main" id="{00000000-0008-0000-0700-0000C8755500}"/>
            </a:ext>
          </a:extLst>
        </xdr:cNvPr>
        <xdr:cNvSpPr>
          <a:spLocks noChangeShapeType="1"/>
        </xdr:cNvSpPr>
      </xdr:nvSpPr>
      <xdr:spPr bwMode="auto">
        <a:xfrm>
          <a:off x="4673600" y="15697200"/>
          <a:ext cx="10668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96</xdr:row>
      <xdr:rowOff>76200</xdr:rowOff>
    </xdr:from>
    <xdr:to>
      <xdr:col>6</xdr:col>
      <xdr:colOff>520700</xdr:colOff>
      <xdr:row>96</xdr:row>
      <xdr:rowOff>76200</xdr:rowOff>
    </xdr:to>
    <xdr:sp macro="" textlink="">
      <xdr:nvSpPr>
        <xdr:cNvPr id="5600713" name="Line 300">
          <a:extLst>
            <a:ext uri="{FF2B5EF4-FFF2-40B4-BE49-F238E27FC236}">
              <a16:creationId xmlns:a16="http://schemas.microsoft.com/office/drawing/2014/main" id="{00000000-0008-0000-0700-0000C9755500}"/>
            </a:ext>
          </a:extLst>
        </xdr:cNvPr>
        <xdr:cNvSpPr>
          <a:spLocks noChangeShapeType="1"/>
        </xdr:cNvSpPr>
      </xdr:nvSpPr>
      <xdr:spPr bwMode="auto">
        <a:xfrm>
          <a:off x="4673600" y="16256000"/>
          <a:ext cx="520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165100</xdr:colOff>
      <xdr:row>103</xdr:row>
      <xdr:rowOff>0</xdr:rowOff>
    </xdr:from>
    <xdr:to>
      <xdr:col>7</xdr:col>
      <xdr:colOff>165100</xdr:colOff>
      <xdr:row>104</xdr:row>
      <xdr:rowOff>12700</xdr:rowOff>
    </xdr:to>
    <xdr:sp macro="" textlink="">
      <xdr:nvSpPr>
        <xdr:cNvPr id="5600714" name="Line 301">
          <a:extLst>
            <a:ext uri="{FF2B5EF4-FFF2-40B4-BE49-F238E27FC236}">
              <a16:creationId xmlns:a16="http://schemas.microsoft.com/office/drawing/2014/main" id="{00000000-0008-0000-0700-0000CA755500}"/>
            </a:ext>
          </a:extLst>
        </xdr:cNvPr>
        <xdr:cNvSpPr>
          <a:spLocks noChangeShapeType="1"/>
        </xdr:cNvSpPr>
      </xdr:nvSpPr>
      <xdr:spPr bwMode="auto">
        <a:xfrm>
          <a:off x="6870700" y="17373600"/>
          <a:ext cx="0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81</xdr:row>
      <xdr:rowOff>76200</xdr:rowOff>
    </xdr:from>
    <xdr:to>
      <xdr:col>6</xdr:col>
      <xdr:colOff>165100</xdr:colOff>
      <xdr:row>81</xdr:row>
      <xdr:rowOff>76200</xdr:rowOff>
    </xdr:to>
    <xdr:sp macro="" textlink="">
      <xdr:nvSpPr>
        <xdr:cNvPr id="5600715" name="Line 302">
          <a:extLst>
            <a:ext uri="{FF2B5EF4-FFF2-40B4-BE49-F238E27FC236}">
              <a16:creationId xmlns:a16="http://schemas.microsoft.com/office/drawing/2014/main" id="{00000000-0008-0000-0700-0000CB755500}"/>
            </a:ext>
          </a:extLst>
        </xdr:cNvPr>
        <xdr:cNvSpPr>
          <a:spLocks noChangeShapeType="1"/>
        </xdr:cNvSpPr>
      </xdr:nvSpPr>
      <xdr:spPr bwMode="auto">
        <a:xfrm>
          <a:off x="4673600" y="137033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1943100</xdr:colOff>
      <xdr:row>83</xdr:row>
      <xdr:rowOff>88900</xdr:rowOff>
    </xdr:from>
    <xdr:to>
      <xdr:col>9</xdr:col>
      <xdr:colOff>0</xdr:colOff>
      <xdr:row>83</xdr:row>
      <xdr:rowOff>88900</xdr:rowOff>
    </xdr:to>
    <xdr:sp macro="" textlink="">
      <xdr:nvSpPr>
        <xdr:cNvPr id="5600716" name="Line 303">
          <a:extLst>
            <a:ext uri="{FF2B5EF4-FFF2-40B4-BE49-F238E27FC236}">
              <a16:creationId xmlns:a16="http://schemas.microsoft.com/office/drawing/2014/main" id="{00000000-0008-0000-0700-0000CC755500}"/>
            </a:ext>
          </a:extLst>
        </xdr:cNvPr>
        <xdr:cNvSpPr>
          <a:spLocks noChangeShapeType="1"/>
        </xdr:cNvSpPr>
      </xdr:nvSpPr>
      <xdr:spPr bwMode="auto">
        <a:xfrm flipV="1">
          <a:off x="6616700" y="14058900"/>
          <a:ext cx="11049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203200</xdr:colOff>
      <xdr:row>85</xdr:row>
      <xdr:rowOff>76200</xdr:rowOff>
    </xdr:from>
    <xdr:to>
      <xdr:col>9</xdr:col>
      <xdr:colOff>0</xdr:colOff>
      <xdr:row>85</xdr:row>
      <xdr:rowOff>76200</xdr:rowOff>
    </xdr:to>
    <xdr:sp macro="" textlink="">
      <xdr:nvSpPr>
        <xdr:cNvPr id="5600717" name="Line 304">
          <a:extLst>
            <a:ext uri="{FF2B5EF4-FFF2-40B4-BE49-F238E27FC236}">
              <a16:creationId xmlns:a16="http://schemas.microsoft.com/office/drawing/2014/main" id="{00000000-0008-0000-0700-0000CD755500}"/>
            </a:ext>
          </a:extLst>
        </xdr:cNvPr>
        <xdr:cNvSpPr>
          <a:spLocks noChangeShapeType="1"/>
        </xdr:cNvSpPr>
      </xdr:nvSpPr>
      <xdr:spPr bwMode="auto">
        <a:xfrm flipV="1">
          <a:off x="6908800" y="14401800"/>
          <a:ext cx="8128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87</xdr:row>
      <xdr:rowOff>139700</xdr:rowOff>
    </xdr:from>
    <xdr:to>
      <xdr:col>9</xdr:col>
      <xdr:colOff>0</xdr:colOff>
      <xdr:row>87</xdr:row>
      <xdr:rowOff>139700</xdr:rowOff>
    </xdr:to>
    <xdr:sp macro="" textlink="">
      <xdr:nvSpPr>
        <xdr:cNvPr id="5600718" name="Line 305">
          <a:extLst>
            <a:ext uri="{FF2B5EF4-FFF2-40B4-BE49-F238E27FC236}">
              <a16:creationId xmlns:a16="http://schemas.microsoft.com/office/drawing/2014/main" id="{00000000-0008-0000-0700-0000CE755500}"/>
            </a:ext>
          </a:extLst>
        </xdr:cNvPr>
        <xdr:cNvSpPr>
          <a:spLocks noChangeShapeType="1"/>
        </xdr:cNvSpPr>
      </xdr:nvSpPr>
      <xdr:spPr bwMode="auto">
        <a:xfrm flipV="1">
          <a:off x="7264400" y="14795500"/>
          <a:ext cx="4572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89</xdr:row>
      <xdr:rowOff>88900</xdr:rowOff>
    </xdr:from>
    <xdr:to>
      <xdr:col>9</xdr:col>
      <xdr:colOff>0</xdr:colOff>
      <xdr:row>89</xdr:row>
      <xdr:rowOff>88900</xdr:rowOff>
    </xdr:to>
    <xdr:sp macro="" textlink="">
      <xdr:nvSpPr>
        <xdr:cNvPr id="5600719" name="Line 307">
          <a:extLst>
            <a:ext uri="{FF2B5EF4-FFF2-40B4-BE49-F238E27FC236}">
              <a16:creationId xmlns:a16="http://schemas.microsoft.com/office/drawing/2014/main" id="{00000000-0008-0000-0700-0000CF755500}"/>
            </a:ext>
          </a:extLst>
        </xdr:cNvPr>
        <xdr:cNvSpPr>
          <a:spLocks noChangeShapeType="1"/>
        </xdr:cNvSpPr>
      </xdr:nvSpPr>
      <xdr:spPr bwMode="auto">
        <a:xfrm flipV="1">
          <a:off x="7721600" y="15087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50800</xdr:colOff>
      <xdr:row>91</xdr:row>
      <xdr:rowOff>76200</xdr:rowOff>
    </xdr:from>
    <xdr:to>
      <xdr:col>9</xdr:col>
      <xdr:colOff>12700</xdr:colOff>
      <xdr:row>91</xdr:row>
      <xdr:rowOff>76200</xdr:rowOff>
    </xdr:to>
    <xdr:sp macro="" textlink="">
      <xdr:nvSpPr>
        <xdr:cNvPr id="5600720" name="Line 308">
          <a:extLst>
            <a:ext uri="{FF2B5EF4-FFF2-40B4-BE49-F238E27FC236}">
              <a16:creationId xmlns:a16="http://schemas.microsoft.com/office/drawing/2014/main" id="{00000000-0008-0000-0700-0000D0755500}"/>
            </a:ext>
          </a:extLst>
        </xdr:cNvPr>
        <xdr:cNvSpPr>
          <a:spLocks noChangeShapeType="1"/>
        </xdr:cNvSpPr>
      </xdr:nvSpPr>
      <xdr:spPr bwMode="auto">
        <a:xfrm flipH="1" flipV="1">
          <a:off x="7264400" y="15417800"/>
          <a:ext cx="4699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96</xdr:row>
      <xdr:rowOff>76200</xdr:rowOff>
    </xdr:from>
    <xdr:to>
      <xdr:col>9</xdr:col>
      <xdr:colOff>0</xdr:colOff>
      <xdr:row>96</xdr:row>
      <xdr:rowOff>76200</xdr:rowOff>
    </xdr:to>
    <xdr:sp macro="" textlink="">
      <xdr:nvSpPr>
        <xdr:cNvPr id="5600721" name="Line 309">
          <a:extLst>
            <a:ext uri="{FF2B5EF4-FFF2-40B4-BE49-F238E27FC236}">
              <a16:creationId xmlns:a16="http://schemas.microsoft.com/office/drawing/2014/main" id="{00000000-0008-0000-0700-0000D1755500}"/>
            </a:ext>
          </a:extLst>
        </xdr:cNvPr>
        <xdr:cNvSpPr>
          <a:spLocks noChangeShapeType="1"/>
        </xdr:cNvSpPr>
      </xdr:nvSpPr>
      <xdr:spPr bwMode="auto">
        <a:xfrm>
          <a:off x="7721600" y="1625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533400</xdr:colOff>
      <xdr:row>100</xdr:row>
      <xdr:rowOff>88900</xdr:rowOff>
    </xdr:from>
    <xdr:to>
      <xdr:col>9</xdr:col>
      <xdr:colOff>0</xdr:colOff>
      <xdr:row>100</xdr:row>
      <xdr:rowOff>88900</xdr:rowOff>
    </xdr:to>
    <xdr:sp macro="" textlink="">
      <xdr:nvSpPr>
        <xdr:cNvPr id="5600722" name="Line 310">
          <a:extLst>
            <a:ext uri="{FF2B5EF4-FFF2-40B4-BE49-F238E27FC236}">
              <a16:creationId xmlns:a16="http://schemas.microsoft.com/office/drawing/2014/main" id="{00000000-0008-0000-0700-0000D2755500}"/>
            </a:ext>
          </a:extLst>
        </xdr:cNvPr>
        <xdr:cNvSpPr>
          <a:spLocks noChangeShapeType="1"/>
        </xdr:cNvSpPr>
      </xdr:nvSpPr>
      <xdr:spPr bwMode="auto">
        <a:xfrm>
          <a:off x="7721600" y="1695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241300</xdr:colOff>
      <xdr:row>89</xdr:row>
      <xdr:rowOff>88900</xdr:rowOff>
    </xdr:from>
    <xdr:to>
      <xdr:col>8</xdr:col>
      <xdr:colOff>508000</xdr:colOff>
      <xdr:row>89</xdr:row>
      <xdr:rowOff>88900</xdr:rowOff>
    </xdr:to>
    <xdr:sp macro="" textlink="">
      <xdr:nvSpPr>
        <xdr:cNvPr id="5600723" name="Line 278">
          <a:extLst>
            <a:ext uri="{FF2B5EF4-FFF2-40B4-BE49-F238E27FC236}">
              <a16:creationId xmlns:a16="http://schemas.microsoft.com/office/drawing/2014/main" id="{00000000-0008-0000-0700-0000D3755500}"/>
            </a:ext>
          </a:extLst>
        </xdr:cNvPr>
        <xdr:cNvSpPr>
          <a:spLocks noChangeShapeType="1"/>
        </xdr:cNvSpPr>
      </xdr:nvSpPr>
      <xdr:spPr bwMode="auto">
        <a:xfrm>
          <a:off x="7454900" y="15087600"/>
          <a:ext cx="2667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1</xdr:row>
      <xdr:rowOff>12700</xdr:rowOff>
    </xdr:from>
    <xdr:to>
      <xdr:col>19</xdr:col>
      <xdr:colOff>0</xdr:colOff>
      <xdr:row>31</xdr:row>
      <xdr:rowOff>101600</xdr:rowOff>
    </xdr:to>
    <xdr:grpSp>
      <xdr:nvGrpSpPr>
        <xdr:cNvPr id="5600724" name="Group 232">
          <a:extLst>
            <a:ext uri="{FF2B5EF4-FFF2-40B4-BE49-F238E27FC236}">
              <a16:creationId xmlns:a16="http://schemas.microsoft.com/office/drawing/2014/main" id="{00000000-0008-0000-0700-0000D4755500}"/>
            </a:ext>
          </a:extLst>
        </xdr:cNvPr>
        <xdr:cNvGrpSpPr>
          <a:grpSpLocks/>
        </xdr:cNvGrpSpPr>
      </xdr:nvGrpSpPr>
      <xdr:grpSpPr bwMode="auto">
        <a:xfrm>
          <a:off x="13068300" y="184150"/>
          <a:ext cx="2095500" cy="5127625"/>
          <a:chOff x="3421" y="5379"/>
          <a:chExt cx="2289" cy="5759"/>
        </a:xfrm>
      </xdr:grpSpPr>
      <xdr:grpSp>
        <xdr:nvGrpSpPr>
          <xdr:cNvPr id="5600763" name="Group 233">
            <a:extLst>
              <a:ext uri="{FF2B5EF4-FFF2-40B4-BE49-F238E27FC236}">
                <a16:creationId xmlns:a16="http://schemas.microsoft.com/office/drawing/2014/main" id="{00000000-0008-0000-0700-0000FB755500}"/>
              </a:ext>
            </a:extLst>
          </xdr:cNvPr>
          <xdr:cNvGrpSpPr>
            <a:grpSpLocks/>
          </xdr:cNvGrpSpPr>
        </xdr:nvGrpSpPr>
        <xdr:grpSpPr bwMode="auto">
          <a:xfrm>
            <a:off x="4047" y="5379"/>
            <a:ext cx="515" cy="4096"/>
            <a:chOff x="4047" y="5379"/>
            <a:chExt cx="515" cy="4096"/>
          </a:xfrm>
        </xdr:grpSpPr>
        <xdr:sp macro="" textlink="">
          <xdr:nvSpPr>
            <xdr:cNvPr id="5600781" name="Arc 234">
              <a:extLst>
                <a:ext uri="{FF2B5EF4-FFF2-40B4-BE49-F238E27FC236}">
                  <a16:creationId xmlns:a16="http://schemas.microsoft.com/office/drawing/2014/main" id="{00000000-0008-0000-0700-00000D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782" name="Group 235">
              <a:extLst>
                <a:ext uri="{FF2B5EF4-FFF2-40B4-BE49-F238E27FC236}">
                  <a16:creationId xmlns:a16="http://schemas.microsoft.com/office/drawing/2014/main" id="{00000000-0008-0000-0700-00000E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783" name="Line 236">
                <a:extLst>
                  <a:ext uri="{FF2B5EF4-FFF2-40B4-BE49-F238E27FC236}">
                    <a16:creationId xmlns:a16="http://schemas.microsoft.com/office/drawing/2014/main" id="{00000000-0008-0000-0700-00000F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4" name="Line 237">
                <a:extLst>
                  <a:ext uri="{FF2B5EF4-FFF2-40B4-BE49-F238E27FC236}">
                    <a16:creationId xmlns:a16="http://schemas.microsoft.com/office/drawing/2014/main" id="{00000000-0008-0000-0700-000010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5" name="Line 238">
                <a:extLst>
                  <a:ext uri="{FF2B5EF4-FFF2-40B4-BE49-F238E27FC236}">
                    <a16:creationId xmlns:a16="http://schemas.microsoft.com/office/drawing/2014/main" id="{00000000-0008-0000-0700-000011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6" name="Line 239">
                <a:extLst>
                  <a:ext uri="{FF2B5EF4-FFF2-40B4-BE49-F238E27FC236}">
                    <a16:creationId xmlns:a16="http://schemas.microsoft.com/office/drawing/2014/main" id="{00000000-0008-0000-0700-000012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7" name="Line 240">
                <a:extLst>
                  <a:ext uri="{FF2B5EF4-FFF2-40B4-BE49-F238E27FC236}">
                    <a16:creationId xmlns:a16="http://schemas.microsoft.com/office/drawing/2014/main" id="{00000000-0008-0000-0700-000013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grpSp>
        <xdr:nvGrpSpPr>
          <xdr:cNvPr id="5600764" name="Group 241">
            <a:extLst>
              <a:ext uri="{FF2B5EF4-FFF2-40B4-BE49-F238E27FC236}">
                <a16:creationId xmlns:a16="http://schemas.microsoft.com/office/drawing/2014/main" id="{00000000-0008-0000-0700-0000FC755500}"/>
              </a:ext>
            </a:extLst>
          </xdr:cNvPr>
          <xdr:cNvGrpSpPr>
            <a:grpSpLocks/>
          </xdr:cNvGrpSpPr>
        </xdr:nvGrpSpPr>
        <xdr:grpSpPr bwMode="auto">
          <a:xfrm flipH="1">
            <a:off x="4560" y="5379"/>
            <a:ext cx="515" cy="4096"/>
            <a:chOff x="4047" y="5379"/>
            <a:chExt cx="515" cy="4096"/>
          </a:xfrm>
        </xdr:grpSpPr>
        <xdr:sp macro="" textlink="">
          <xdr:nvSpPr>
            <xdr:cNvPr id="5600774" name="Arc 242">
              <a:extLst>
                <a:ext uri="{FF2B5EF4-FFF2-40B4-BE49-F238E27FC236}">
                  <a16:creationId xmlns:a16="http://schemas.microsoft.com/office/drawing/2014/main" id="{00000000-0008-0000-0700-000006765500}"/>
                </a:ext>
              </a:extLst>
            </xdr:cNvPr>
            <xdr:cNvSpPr>
              <a:spLocks/>
            </xdr:cNvSpPr>
          </xdr:nvSpPr>
          <xdr:spPr bwMode="auto">
            <a:xfrm flipH="1">
              <a:off x="4201" y="5379"/>
              <a:ext cx="361" cy="964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60000 65536"/>
                <a:gd name="T7" fmla="*/ 0 60000 65536"/>
                <a:gd name="T8" fmla="*/ 0 60000 65536"/>
                <a:gd name="T9" fmla="*/ 0 w 21600"/>
                <a:gd name="T10" fmla="*/ 0 h 21600"/>
                <a:gd name="T11" fmla="*/ 21600 w 21600"/>
                <a:gd name="T12" fmla="*/ 21600 h 21600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21600" h="21600" fill="none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</a:path>
                <a:path w="21600" h="21600" stroke="0" extrusionOk="0">
                  <a:moveTo>
                    <a:pt x="-1" y="0"/>
                  </a:moveTo>
                  <a:cubicBezTo>
                    <a:pt x="11929" y="0"/>
                    <a:pt x="21600" y="9670"/>
                    <a:pt x="21600" y="21600"/>
                  </a:cubicBezTo>
                  <a:lnTo>
                    <a:pt x="0" y="21600"/>
                  </a:lnTo>
                  <a:lnTo>
                    <a:pt x="-1" y="0"/>
                  </a:lnTo>
                  <a:close/>
                </a:path>
              </a:pathLst>
            </a:custGeom>
            <a:noFill/>
            <a:ln w="9525">
              <a:solidFill>
                <a:srgbClr val="00B0F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grpSp>
          <xdr:nvGrpSpPr>
            <xdr:cNvPr id="5600775" name="Group 243">
              <a:extLst>
                <a:ext uri="{FF2B5EF4-FFF2-40B4-BE49-F238E27FC236}">
                  <a16:creationId xmlns:a16="http://schemas.microsoft.com/office/drawing/2014/main" id="{00000000-0008-0000-0700-0000077655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4047" y="6306"/>
              <a:ext cx="285" cy="3169"/>
              <a:chOff x="4050" y="6306"/>
              <a:chExt cx="285" cy="3169"/>
            </a:xfrm>
          </xdr:grpSpPr>
          <xdr:sp macro="" textlink="">
            <xdr:nvSpPr>
              <xdr:cNvPr id="5600776" name="Line 244">
                <a:extLst>
                  <a:ext uri="{FF2B5EF4-FFF2-40B4-BE49-F238E27FC236}">
                    <a16:creationId xmlns:a16="http://schemas.microsoft.com/office/drawing/2014/main" id="{00000000-0008-0000-0700-000008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202" y="6306"/>
                <a:ext cx="0" cy="936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7" name="Line 245">
                <a:extLst>
                  <a:ext uri="{FF2B5EF4-FFF2-40B4-BE49-F238E27FC236}">
                    <a16:creationId xmlns:a16="http://schemas.microsoft.com/office/drawing/2014/main" id="{00000000-0008-0000-0700-000009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4050" y="7242"/>
                <a:ext cx="152" cy="254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8" name="Line 246">
                <a:extLst>
                  <a:ext uri="{FF2B5EF4-FFF2-40B4-BE49-F238E27FC236}">
                    <a16:creationId xmlns:a16="http://schemas.microsoft.com/office/drawing/2014/main" id="{00000000-0008-0000-0700-00000A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7496"/>
                <a:ext cx="0" cy="642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79" name="Line 247">
                <a:extLst>
                  <a:ext uri="{FF2B5EF4-FFF2-40B4-BE49-F238E27FC236}">
                    <a16:creationId xmlns:a16="http://schemas.microsoft.com/office/drawing/2014/main" id="{00000000-0008-0000-0700-00000B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050" y="8138"/>
                <a:ext cx="285" cy="367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780" name="Line 248">
                <a:extLst>
                  <a:ext uri="{FF2B5EF4-FFF2-40B4-BE49-F238E27FC236}">
                    <a16:creationId xmlns:a16="http://schemas.microsoft.com/office/drawing/2014/main" id="{00000000-0008-0000-0700-00000C7655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4335" y="8505"/>
                <a:ext cx="0" cy="970"/>
              </a:xfrm>
              <a:prstGeom prst="line">
                <a:avLst/>
              </a:prstGeom>
              <a:noFill/>
              <a:ln w="9525">
                <a:solidFill>
                  <a:srgbClr val="00B0F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5600765" name="Line 249">
            <a:extLst>
              <a:ext uri="{FF2B5EF4-FFF2-40B4-BE49-F238E27FC236}">
                <a16:creationId xmlns:a16="http://schemas.microsoft.com/office/drawing/2014/main" id="{00000000-0008-0000-0700-0000FD755500}"/>
              </a:ext>
            </a:extLst>
          </xdr:cNvPr>
          <xdr:cNvSpPr>
            <a:spLocks noChangeShapeType="1"/>
          </xdr:cNvSpPr>
        </xdr:nvSpPr>
        <xdr:spPr bwMode="auto">
          <a:xfrm>
            <a:off x="4332" y="9310"/>
            <a:ext cx="2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6" name="Line 250">
            <a:extLst>
              <a:ext uri="{FF2B5EF4-FFF2-40B4-BE49-F238E27FC236}">
                <a16:creationId xmlns:a16="http://schemas.microsoft.com/office/drawing/2014/main" id="{00000000-0008-0000-0700-0000FE755500}"/>
              </a:ext>
            </a:extLst>
          </xdr:cNvPr>
          <xdr:cNvSpPr>
            <a:spLocks noChangeShapeType="1"/>
          </xdr:cNvSpPr>
        </xdr:nvSpPr>
        <xdr:spPr bwMode="auto">
          <a:xfrm>
            <a:off x="4790" y="9310"/>
            <a:ext cx="0" cy="1319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7" name="Line 251">
            <a:extLst>
              <a:ext uri="{FF2B5EF4-FFF2-40B4-BE49-F238E27FC236}">
                <a16:creationId xmlns:a16="http://schemas.microsoft.com/office/drawing/2014/main" id="{00000000-0008-0000-0700-0000FF755500}"/>
              </a:ext>
            </a:extLst>
          </xdr:cNvPr>
          <xdr:cNvSpPr>
            <a:spLocks noChangeShapeType="1"/>
          </xdr:cNvSpPr>
        </xdr:nvSpPr>
        <xdr:spPr bwMode="auto">
          <a:xfrm>
            <a:off x="4330" y="10629"/>
            <a:ext cx="458" cy="0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8" name="Line 252">
            <a:extLst>
              <a:ext uri="{FF2B5EF4-FFF2-40B4-BE49-F238E27FC236}">
                <a16:creationId xmlns:a16="http://schemas.microsoft.com/office/drawing/2014/main" id="{00000000-0008-0000-0700-000000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709" y="10163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69" name="Line 253">
            <a:extLst>
              <a:ext uri="{FF2B5EF4-FFF2-40B4-BE49-F238E27FC236}">
                <a16:creationId xmlns:a16="http://schemas.microsoft.com/office/drawing/2014/main" id="{00000000-0008-0000-0700-000001765500}"/>
              </a:ext>
            </a:extLst>
          </xdr:cNvPr>
          <xdr:cNvSpPr>
            <a:spLocks noChangeShapeType="1"/>
          </xdr:cNvSpPr>
        </xdr:nvSpPr>
        <xdr:spPr bwMode="auto">
          <a:xfrm>
            <a:off x="4796" y="10419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0" name="Line 254">
            <a:extLst>
              <a:ext uri="{FF2B5EF4-FFF2-40B4-BE49-F238E27FC236}">
                <a16:creationId xmlns:a16="http://schemas.microsoft.com/office/drawing/2014/main" id="{00000000-0008-0000-0700-000002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804" y="8797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1" name="Line 255">
            <a:extLst>
              <a:ext uri="{FF2B5EF4-FFF2-40B4-BE49-F238E27FC236}">
                <a16:creationId xmlns:a16="http://schemas.microsoft.com/office/drawing/2014/main" id="{00000000-0008-0000-0700-0000037655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421" y="10178"/>
            <a:ext cx="1" cy="946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2" name="Line 256">
            <a:extLst>
              <a:ext uri="{FF2B5EF4-FFF2-40B4-BE49-F238E27FC236}">
                <a16:creationId xmlns:a16="http://schemas.microsoft.com/office/drawing/2014/main" id="{00000000-0008-0000-0700-0000047655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421" y="10426"/>
            <a:ext cx="909" cy="71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00773" name="Line 257">
            <a:extLst>
              <a:ext uri="{FF2B5EF4-FFF2-40B4-BE49-F238E27FC236}">
                <a16:creationId xmlns:a16="http://schemas.microsoft.com/office/drawing/2014/main" id="{00000000-0008-0000-0700-0000057655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429" y="8804"/>
            <a:ext cx="905" cy="1372"/>
          </a:xfrm>
          <a:prstGeom prst="line">
            <a:avLst/>
          </a:prstGeom>
          <a:noFill/>
          <a:ln w="9525">
            <a:solidFill>
              <a:srgbClr val="00B0F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17</xdr:col>
      <xdr:colOff>914400</xdr:colOff>
      <xdr:row>11</xdr:row>
      <xdr:rowOff>101600</xdr:rowOff>
    </xdr:from>
    <xdr:to>
      <xdr:col>18</xdr:col>
      <xdr:colOff>406400</xdr:colOff>
      <xdr:row>11</xdr:row>
      <xdr:rowOff>101600</xdr:rowOff>
    </xdr:to>
    <xdr:sp macro="" textlink="">
      <xdr:nvSpPr>
        <xdr:cNvPr id="5600725" name="Line 268">
          <a:extLst>
            <a:ext uri="{FF2B5EF4-FFF2-40B4-BE49-F238E27FC236}">
              <a16:creationId xmlns:a16="http://schemas.microsoft.com/office/drawing/2014/main" id="{00000000-0008-0000-0700-0000D5755500}"/>
            </a:ext>
          </a:extLst>
        </xdr:cNvPr>
        <xdr:cNvSpPr>
          <a:spLocks noChangeShapeType="1"/>
        </xdr:cNvSpPr>
      </xdr:nvSpPr>
      <xdr:spPr bwMode="auto">
        <a:xfrm flipV="1">
          <a:off x="15735300" y="2032000"/>
          <a:ext cx="7366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1</xdr:row>
      <xdr:rowOff>12700</xdr:rowOff>
    </xdr:from>
    <xdr:to>
      <xdr:col>19</xdr:col>
      <xdr:colOff>368300</xdr:colOff>
      <xdr:row>1</xdr:row>
      <xdr:rowOff>12700</xdr:rowOff>
    </xdr:to>
    <xdr:sp macro="" textlink="">
      <xdr:nvSpPr>
        <xdr:cNvPr id="5600726" name="Line 269">
          <a:extLst>
            <a:ext uri="{FF2B5EF4-FFF2-40B4-BE49-F238E27FC236}">
              <a16:creationId xmlns:a16="http://schemas.microsoft.com/office/drawing/2014/main" id="{00000000-0008-0000-0700-0000D6755500}"/>
            </a:ext>
          </a:extLst>
        </xdr:cNvPr>
        <xdr:cNvSpPr>
          <a:spLocks noChangeShapeType="1"/>
        </xdr:cNvSpPr>
      </xdr:nvSpPr>
      <xdr:spPr bwMode="auto">
        <a:xfrm flipV="1">
          <a:off x="14922500" y="190500"/>
          <a:ext cx="2755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1155700</xdr:colOff>
      <xdr:row>1</xdr:row>
      <xdr:rowOff>12700</xdr:rowOff>
    </xdr:from>
    <xdr:to>
      <xdr:col>18</xdr:col>
      <xdr:colOff>1155700</xdr:colOff>
      <xdr:row>28</xdr:row>
      <xdr:rowOff>139700</xdr:rowOff>
    </xdr:to>
    <xdr:sp macro="" textlink="">
      <xdr:nvSpPr>
        <xdr:cNvPr id="5600727" name="Line 270">
          <a:extLst>
            <a:ext uri="{FF2B5EF4-FFF2-40B4-BE49-F238E27FC236}">
              <a16:creationId xmlns:a16="http://schemas.microsoft.com/office/drawing/2014/main" id="{00000000-0008-0000-0700-0000D7755500}"/>
            </a:ext>
          </a:extLst>
        </xdr:cNvPr>
        <xdr:cNvSpPr>
          <a:spLocks noChangeShapeType="1"/>
        </xdr:cNvSpPr>
      </xdr:nvSpPr>
      <xdr:spPr bwMode="auto">
        <a:xfrm>
          <a:off x="17221200" y="190500"/>
          <a:ext cx="0" cy="47117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127000</xdr:colOff>
      <xdr:row>10</xdr:row>
      <xdr:rowOff>152400</xdr:rowOff>
    </xdr:from>
    <xdr:to>
      <xdr:col>18</xdr:col>
      <xdr:colOff>457200</xdr:colOff>
      <xdr:row>10</xdr:row>
      <xdr:rowOff>152400</xdr:rowOff>
    </xdr:to>
    <xdr:sp macro="" textlink="">
      <xdr:nvSpPr>
        <xdr:cNvPr id="5600728" name="Line 271">
          <a:extLst>
            <a:ext uri="{FF2B5EF4-FFF2-40B4-BE49-F238E27FC236}">
              <a16:creationId xmlns:a16="http://schemas.microsoft.com/office/drawing/2014/main" id="{00000000-0008-0000-0700-0000D8755500}"/>
            </a:ext>
          </a:extLst>
        </xdr:cNvPr>
        <xdr:cNvSpPr>
          <a:spLocks noChangeShapeType="1"/>
        </xdr:cNvSpPr>
      </xdr:nvSpPr>
      <xdr:spPr bwMode="auto">
        <a:xfrm>
          <a:off x="14947900" y="1905000"/>
          <a:ext cx="15748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165100</xdr:colOff>
      <xdr:row>0</xdr:row>
      <xdr:rowOff>165100</xdr:rowOff>
    </xdr:from>
    <xdr:to>
      <xdr:col>17</xdr:col>
      <xdr:colOff>165100</xdr:colOff>
      <xdr:row>10</xdr:row>
      <xdr:rowOff>139700</xdr:rowOff>
    </xdr:to>
    <xdr:sp macro="" textlink="">
      <xdr:nvSpPr>
        <xdr:cNvPr id="5600729" name="Line 272">
          <a:extLst>
            <a:ext uri="{FF2B5EF4-FFF2-40B4-BE49-F238E27FC236}">
              <a16:creationId xmlns:a16="http://schemas.microsoft.com/office/drawing/2014/main" id="{00000000-0008-0000-0700-0000D9755500}"/>
            </a:ext>
          </a:extLst>
        </xdr:cNvPr>
        <xdr:cNvSpPr>
          <a:spLocks noChangeShapeType="1"/>
        </xdr:cNvSpPr>
      </xdr:nvSpPr>
      <xdr:spPr bwMode="auto">
        <a:xfrm flipH="1">
          <a:off x="14986000" y="165100"/>
          <a:ext cx="0" cy="17272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254000</xdr:colOff>
      <xdr:row>31</xdr:row>
      <xdr:rowOff>101600</xdr:rowOff>
    </xdr:from>
    <xdr:to>
      <xdr:col>17</xdr:col>
      <xdr:colOff>88900</xdr:colOff>
      <xdr:row>31</xdr:row>
      <xdr:rowOff>101600</xdr:rowOff>
    </xdr:to>
    <xdr:sp macro="" textlink="">
      <xdr:nvSpPr>
        <xdr:cNvPr id="5600730" name="Line 277">
          <a:extLst>
            <a:ext uri="{FF2B5EF4-FFF2-40B4-BE49-F238E27FC236}">
              <a16:creationId xmlns:a16="http://schemas.microsoft.com/office/drawing/2014/main" id="{00000000-0008-0000-0700-0000DA755500}"/>
            </a:ext>
          </a:extLst>
        </xdr:cNvPr>
        <xdr:cNvSpPr>
          <a:spLocks noChangeShapeType="1"/>
        </xdr:cNvSpPr>
      </xdr:nvSpPr>
      <xdr:spPr bwMode="auto">
        <a:xfrm>
          <a:off x="14185900" y="5397500"/>
          <a:ext cx="723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215900</xdr:colOff>
      <xdr:row>29</xdr:row>
      <xdr:rowOff>88900</xdr:rowOff>
    </xdr:from>
    <xdr:to>
      <xdr:col>18</xdr:col>
      <xdr:colOff>1130300</xdr:colOff>
      <xdr:row>29</xdr:row>
      <xdr:rowOff>88900</xdr:rowOff>
    </xdr:to>
    <xdr:sp macro="" textlink="">
      <xdr:nvSpPr>
        <xdr:cNvPr id="5600731" name="Line 280">
          <a:extLst>
            <a:ext uri="{FF2B5EF4-FFF2-40B4-BE49-F238E27FC236}">
              <a16:creationId xmlns:a16="http://schemas.microsoft.com/office/drawing/2014/main" id="{00000000-0008-0000-0700-0000DB755500}"/>
            </a:ext>
          </a:extLst>
        </xdr:cNvPr>
        <xdr:cNvSpPr>
          <a:spLocks noChangeShapeType="1"/>
        </xdr:cNvSpPr>
      </xdr:nvSpPr>
      <xdr:spPr bwMode="auto">
        <a:xfrm>
          <a:off x="16281400" y="5029200"/>
          <a:ext cx="9144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558800</xdr:colOff>
      <xdr:row>20</xdr:row>
      <xdr:rowOff>0</xdr:rowOff>
    </xdr:from>
    <xdr:to>
      <xdr:col>17</xdr:col>
      <xdr:colOff>558800</xdr:colOff>
      <xdr:row>28</xdr:row>
      <xdr:rowOff>127000</xdr:rowOff>
    </xdr:to>
    <xdr:sp macro="" textlink="">
      <xdr:nvSpPr>
        <xdr:cNvPr id="5600732" name="Line 281">
          <a:extLst>
            <a:ext uri="{FF2B5EF4-FFF2-40B4-BE49-F238E27FC236}">
              <a16:creationId xmlns:a16="http://schemas.microsoft.com/office/drawing/2014/main" id="{00000000-0008-0000-0700-0000DC755500}"/>
            </a:ext>
          </a:extLst>
        </xdr:cNvPr>
        <xdr:cNvSpPr>
          <a:spLocks noChangeShapeType="1"/>
        </xdr:cNvSpPr>
      </xdr:nvSpPr>
      <xdr:spPr bwMode="auto">
        <a:xfrm flipH="1">
          <a:off x="15379700" y="3429000"/>
          <a:ext cx="0" cy="14605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342900</xdr:colOff>
      <xdr:row>27</xdr:row>
      <xdr:rowOff>139700</xdr:rowOff>
    </xdr:from>
    <xdr:to>
      <xdr:col>16</xdr:col>
      <xdr:colOff>355600</xdr:colOff>
      <xdr:row>31</xdr:row>
      <xdr:rowOff>101600</xdr:rowOff>
    </xdr:to>
    <xdr:sp macro="" textlink="">
      <xdr:nvSpPr>
        <xdr:cNvPr id="5600733" name="Line 282">
          <a:extLst>
            <a:ext uri="{FF2B5EF4-FFF2-40B4-BE49-F238E27FC236}">
              <a16:creationId xmlns:a16="http://schemas.microsoft.com/office/drawing/2014/main" id="{00000000-0008-0000-0700-0000DD755500}"/>
            </a:ext>
          </a:extLst>
        </xdr:cNvPr>
        <xdr:cNvSpPr>
          <a:spLocks noChangeShapeType="1"/>
        </xdr:cNvSpPr>
      </xdr:nvSpPr>
      <xdr:spPr bwMode="auto">
        <a:xfrm flipH="1">
          <a:off x="14274800" y="4724400"/>
          <a:ext cx="12700" cy="6731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800100</xdr:colOff>
      <xdr:row>20</xdr:row>
      <xdr:rowOff>0</xdr:rowOff>
    </xdr:from>
    <xdr:to>
      <xdr:col>16</xdr:col>
      <xdr:colOff>800100</xdr:colOff>
      <xdr:row>27</xdr:row>
      <xdr:rowOff>139700</xdr:rowOff>
    </xdr:to>
    <xdr:sp macro="" textlink="">
      <xdr:nvSpPr>
        <xdr:cNvPr id="5600734" name="Line 283">
          <a:extLst>
            <a:ext uri="{FF2B5EF4-FFF2-40B4-BE49-F238E27FC236}">
              <a16:creationId xmlns:a16="http://schemas.microsoft.com/office/drawing/2014/main" id="{00000000-0008-0000-0700-0000DE755500}"/>
            </a:ext>
          </a:extLst>
        </xdr:cNvPr>
        <xdr:cNvSpPr>
          <a:spLocks noChangeShapeType="1"/>
        </xdr:cNvSpPr>
      </xdr:nvSpPr>
      <xdr:spPr bwMode="auto">
        <a:xfrm>
          <a:off x="14732000" y="3429000"/>
          <a:ext cx="0" cy="12954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31</xdr:row>
      <xdr:rowOff>101600</xdr:rowOff>
    </xdr:from>
    <xdr:to>
      <xdr:col>17</xdr:col>
      <xdr:colOff>76200</xdr:colOff>
      <xdr:row>32</xdr:row>
      <xdr:rowOff>0</xdr:rowOff>
    </xdr:to>
    <xdr:sp macro="" textlink="">
      <xdr:nvSpPr>
        <xdr:cNvPr id="5600735" name="Line 284">
          <a:extLst>
            <a:ext uri="{FF2B5EF4-FFF2-40B4-BE49-F238E27FC236}">
              <a16:creationId xmlns:a16="http://schemas.microsoft.com/office/drawing/2014/main" id="{00000000-0008-0000-0700-0000DF755500}"/>
            </a:ext>
          </a:extLst>
        </xdr:cNvPr>
        <xdr:cNvSpPr>
          <a:spLocks noChangeShapeType="1"/>
        </xdr:cNvSpPr>
      </xdr:nvSpPr>
      <xdr:spPr bwMode="auto">
        <a:xfrm flipV="1">
          <a:off x="14897100" y="5397500"/>
          <a:ext cx="0" cy="762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1041400</xdr:colOff>
      <xdr:row>29</xdr:row>
      <xdr:rowOff>88900</xdr:rowOff>
    </xdr:from>
    <xdr:to>
      <xdr:col>17</xdr:col>
      <xdr:colOff>1041400</xdr:colOff>
      <xdr:row>31</xdr:row>
      <xdr:rowOff>165100</xdr:rowOff>
    </xdr:to>
    <xdr:sp macro="" textlink="">
      <xdr:nvSpPr>
        <xdr:cNvPr id="5600736" name="Line 285">
          <a:extLst>
            <a:ext uri="{FF2B5EF4-FFF2-40B4-BE49-F238E27FC236}">
              <a16:creationId xmlns:a16="http://schemas.microsoft.com/office/drawing/2014/main" id="{00000000-0008-0000-0700-0000E0755500}"/>
            </a:ext>
          </a:extLst>
        </xdr:cNvPr>
        <xdr:cNvSpPr>
          <a:spLocks noChangeShapeType="1"/>
        </xdr:cNvSpPr>
      </xdr:nvSpPr>
      <xdr:spPr bwMode="auto">
        <a:xfrm flipH="1" flipV="1">
          <a:off x="15862300" y="5029200"/>
          <a:ext cx="0" cy="43180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101600</xdr:colOff>
      <xdr:row>31</xdr:row>
      <xdr:rowOff>127000</xdr:rowOff>
    </xdr:from>
    <xdr:to>
      <xdr:col>17</xdr:col>
      <xdr:colOff>1054100</xdr:colOff>
      <xdr:row>31</xdr:row>
      <xdr:rowOff>127000</xdr:rowOff>
    </xdr:to>
    <xdr:sp macro="" textlink="">
      <xdr:nvSpPr>
        <xdr:cNvPr id="5600737" name="Line 286">
          <a:extLst>
            <a:ext uri="{FF2B5EF4-FFF2-40B4-BE49-F238E27FC236}">
              <a16:creationId xmlns:a16="http://schemas.microsoft.com/office/drawing/2014/main" id="{00000000-0008-0000-0700-0000E1755500}"/>
            </a:ext>
          </a:extLst>
        </xdr:cNvPr>
        <xdr:cNvSpPr>
          <a:spLocks noChangeShapeType="1"/>
        </xdr:cNvSpPr>
      </xdr:nvSpPr>
      <xdr:spPr bwMode="auto">
        <a:xfrm flipV="1">
          <a:off x="14922500" y="5422900"/>
          <a:ext cx="952500" cy="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736600</xdr:colOff>
      <xdr:row>16</xdr:row>
      <xdr:rowOff>63500</xdr:rowOff>
    </xdr:from>
    <xdr:to>
      <xdr:col>18</xdr:col>
      <xdr:colOff>558800</xdr:colOff>
      <xdr:row>16</xdr:row>
      <xdr:rowOff>63500</xdr:rowOff>
    </xdr:to>
    <xdr:sp macro="" textlink="">
      <xdr:nvSpPr>
        <xdr:cNvPr id="5600738" name="Line 287">
          <a:extLst>
            <a:ext uri="{FF2B5EF4-FFF2-40B4-BE49-F238E27FC236}">
              <a16:creationId xmlns:a16="http://schemas.microsoft.com/office/drawing/2014/main" id="{00000000-0008-0000-0700-0000E2755500}"/>
            </a:ext>
          </a:extLst>
        </xdr:cNvPr>
        <xdr:cNvSpPr>
          <a:spLocks noChangeShapeType="1"/>
        </xdr:cNvSpPr>
      </xdr:nvSpPr>
      <xdr:spPr bwMode="auto">
        <a:xfrm flipV="1">
          <a:off x="15557500" y="2832100"/>
          <a:ext cx="1066800" cy="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914400</xdr:colOff>
      <xdr:row>14</xdr:row>
      <xdr:rowOff>127000</xdr:rowOff>
    </xdr:from>
    <xdr:to>
      <xdr:col>19</xdr:col>
      <xdr:colOff>25400</xdr:colOff>
      <xdr:row>14</xdr:row>
      <xdr:rowOff>127000</xdr:rowOff>
    </xdr:to>
    <xdr:sp macro="" textlink="">
      <xdr:nvSpPr>
        <xdr:cNvPr id="5600739" name="Line 289">
          <a:extLst>
            <a:ext uri="{FF2B5EF4-FFF2-40B4-BE49-F238E27FC236}">
              <a16:creationId xmlns:a16="http://schemas.microsoft.com/office/drawing/2014/main" id="{00000000-0008-0000-0700-0000E3755500}"/>
            </a:ext>
          </a:extLst>
        </xdr:cNvPr>
        <xdr:cNvSpPr>
          <a:spLocks noChangeShapeType="1"/>
        </xdr:cNvSpPr>
      </xdr:nvSpPr>
      <xdr:spPr bwMode="auto">
        <a:xfrm>
          <a:off x="15735300" y="2565400"/>
          <a:ext cx="16002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749300</xdr:colOff>
      <xdr:row>15</xdr:row>
      <xdr:rowOff>127000</xdr:rowOff>
    </xdr:from>
    <xdr:to>
      <xdr:col>19</xdr:col>
      <xdr:colOff>50800</xdr:colOff>
      <xdr:row>15</xdr:row>
      <xdr:rowOff>127000</xdr:rowOff>
    </xdr:to>
    <xdr:sp macro="" textlink="">
      <xdr:nvSpPr>
        <xdr:cNvPr id="5600740" name="Line 290">
          <a:extLst>
            <a:ext uri="{FF2B5EF4-FFF2-40B4-BE49-F238E27FC236}">
              <a16:creationId xmlns:a16="http://schemas.microsoft.com/office/drawing/2014/main" id="{00000000-0008-0000-0700-0000E4755500}"/>
            </a:ext>
          </a:extLst>
        </xdr:cNvPr>
        <xdr:cNvSpPr>
          <a:spLocks noChangeShapeType="1"/>
        </xdr:cNvSpPr>
      </xdr:nvSpPr>
      <xdr:spPr bwMode="auto">
        <a:xfrm>
          <a:off x="15570200" y="2730500"/>
          <a:ext cx="17907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736600</xdr:colOff>
      <xdr:row>18</xdr:row>
      <xdr:rowOff>63500</xdr:rowOff>
    </xdr:from>
    <xdr:to>
      <xdr:col>19</xdr:col>
      <xdr:colOff>50800</xdr:colOff>
      <xdr:row>18</xdr:row>
      <xdr:rowOff>63500</xdr:rowOff>
    </xdr:to>
    <xdr:sp macro="" textlink="">
      <xdr:nvSpPr>
        <xdr:cNvPr id="5600741" name="Line 291">
          <a:extLst>
            <a:ext uri="{FF2B5EF4-FFF2-40B4-BE49-F238E27FC236}">
              <a16:creationId xmlns:a16="http://schemas.microsoft.com/office/drawing/2014/main" id="{00000000-0008-0000-0700-0000E5755500}"/>
            </a:ext>
          </a:extLst>
        </xdr:cNvPr>
        <xdr:cNvSpPr>
          <a:spLocks noChangeShapeType="1"/>
        </xdr:cNvSpPr>
      </xdr:nvSpPr>
      <xdr:spPr bwMode="auto">
        <a:xfrm>
          <a:off x="15557500" y="3162300"/>
          <a:ext cx="18034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1041400</xdr:colOff>
      <xdr:row>19</xdr:row>
      <xdr:rowOff>139700</xdr:rowOff>
    </xdr:from>
    <xdr:to>
      <xdr:col>19</xdr:col>
      <xdr:colOff>12700</xdr:colOff>
      <xdr:row>19</xdr:row>
      <xdr:rowOff>139700</xdr:rowOff>
    </xdr:to>
    <xdr:sp macro="" textlink="">
      <xdr:nvSpPr>
        <xdr:cNvPr id="5600742" name="Line 292">
          <a:extLst>
            <a:ext uri="{FF2B5EF4-FFF2-40B4-BE49-F238E27FC236}">
              <a16:creationId xmlns:a16="http://schemas.microsoft.com/office/drawing/2014/main" id="{00000000-0008-0000-0700-0000E6755500}"/>
            </a:ext>
          </a:extLst>
        </xdr:cNvPr>
        <xdr:cNvSpPr>
          <a:spLocks noChangeShapeType="1"/>
        </xdr:cNvSpPr>
      </xdr:nvSpPr>
      <xdr:spPr bwMode="auto">
        <a:xfrm>
          <a:off x="15862300" y="3403600"/>
          <a:ext cx="1460500" cy="0"/>
        </a:xfrm>
        <a:prstGeom prst="line">
          <a:avLst/>
        </a:prstGeom>
        <a:noFill/>
        <a:ln w="6350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1244600</xdr:colOff>
      <xdr:row>1</xdr:row>
      <xdr:rowOff>0</xdr:rowOff>
    </xdr:from>
    <xdr:to>
      <xdr:col>18</xdr:col>
      <xdr:colOff>0</xdr:colOff>
      <xdr:row>14</xdr:row>
      <xdr:rowOff>127000</xdr:rowOff>
    </xdr:to>
    <xdr:sp macro="" textlink="">
      <xdr:nvSpPr>
        <xdr:cNvPr id="5600743" name="Line 293">
          <a:extLst>
            <a:ext uri="{FF2B5EF4-FFF2-40B4-BE49-F238E27FC236}">
              <a16:creationId xmlns:a16="http://schemas.microsoft.com/office/drawing/2014/main" id="{00000000-0008-0000-0700-0000E7755500}"/>
            </a:ext>
          </a:extLst>
        </xdr:cNvPr>
        <xdr:cNvSpPr>
          <a:spLocks noChangeShapeType="1"/>
        </xdr:cNvSpPr>
      </xdr:nvSpPr>
      <xdr:spPr bwMode="auto">
        <a:xfrm flipH="1">
          <a:off x="16065500" y="177800"/>
          <a:ext cx="0" cy="23876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203200</xdr:colOff>
      <xdr:row>1</xdr:row>
      <xdr:rowOff>0</xdr:rowOff>
    </xdr:from>
    <xdr:to>
      <xdr:col>18</xdr:col>
      <xdr:colOff>203200</xdr:colOff>
      <xdr:row>18</xdr:row>
      <xdr:rowOff>63500</xdr:rowOff>
    </xdr:to>
    <xdr:sp macro="" textlink="">
      <xdr:nvSpPr>
        <xdr:cNvPr id="5600744" name="Line 294">
          <a:extLst>
            <a:ext uri="{FF2B5EF4-FFF2-40B4-BE49-F238E27FC236}">
              <a16:creationId xmlns:a16="http://schemas.microsoft.com/office/drawing/2014/main" id="{00000000-0008-0000-0700-0000E8755500}"/>
            </a:ext>
          </a:extLst>
        </xdr:cNvPr>
        <xdr:cNvSpPr>
          <a:spLocks noChangeShapeType="1"/>
        </xdr:cNvSpPr>
      </xdr:nvSpPr>
      <xdr:spPr bwMode="auto">
        <a:xfrm>
          <a:off x="16268700" y="177800"/>
          <a:ext cx="0" cy="29845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14</xdr:row>
      <xdr:rowOff>127000</xdr:rowOff>
    </xdr:from>
    <xdr:to>
      <xdr:col>19</xdr:col>
      <xdr:colOff>25400</xdr:colOff>
      <xdr:row>15</xdr:row>
      <xdr:rowOff>127000</xdr:rowOff>
    </xdr:to>
    <xdr:sp macro="" textlink="">
      <xdr:nvSpPr>
        <xdr:cNvPr id="5600745" name="Line 295">
          <a:extLst>
            <a:ext uri="{FF2B5EF4-FFF2-40B4-BE49-F238E27FC236}">
              <a16:creationId xmlns:a16="http://schemas.microsoft.com/office/drawing/2014/main" id="{00000000-0008-0000-0700-0000E9755500}"/>
            </a:ext>
          </a:extLst>
        </xdr:cNvPr>
        <xdr:cNvSpPr>
          <a:spLocks noChangeShapeType="1"/>
        </xdr:cNvSpPr>
      </xdr:nvSpPr>
      <xdr:spPr bwMode="auto">
        <a:xfrm>
          <a:off x="17335500" y="2565400"/>
          <a:ext cx="0" cy="165100"/>
        </a:xfrm>
        <a:prstGeom prst="line">
          <a:avLst/>
        </a:prstGeom>
        <a:noFill/>
        <a:ln w="317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12700</xdr:colOff>
      <xdr:row>18</xdr:row>
      <xdr:rowOff>63500</xdr:rowOff>
    </xdr:from>
    <xdr:to>
      <xdr:col>19</xdr:col>
      <xdr:colOff>12700</xdr:colOff>
      <xdr:row>19</xdr:row>
      <xdr:rowOff>139700</xdr:rowOff>
    </xdr:to>
    <xdr:sp macro="" textlink="">
      <xdr:nvSpPr>
        <xdr:cNvPr id="5600746" name="Line 296">
          <a:extLst>
            <a:ext uri="{FF2B5EF4-FFF2-40B4-BE49-F238E27FC236}">
              <a16:creationId xmlns:a16="http://schemas.microsoft.com/office/drawing/2014/main" id="{00000000-0008-0000-0700-0000EA755500}"/>
            </a:ext>
          </a:extLst>
        </xdr:cNvPr>
        <xdr:cNvSpPr>
          <a:spLocks noChangeShapeType="1"/>
        </xdr:cNvSpPr>
      </xdr:nvSpPr>
      <xdr:spPr bwMode="auto">
        <a:xfrm>
          <a:off x="17322800" y="3162300"/>
          <a:ext cx="0" cy="24130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triangle" w="sm" len="sm"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11</xdr:row>
      <xdr:rowOff>101600</xdr:rowOff>
    </xdr:from>
    <xdr:to>
      <xdr:col>17</xdr:col>
      <xdr:colOff>914400</xdr:colOff>
      <xdr:row>11</xdr:row>
      <xdr:rowOff>101600</xdr:rowOff>
    </xdr:to>
    <xdr:sp macro="" textlink="">
      <xdr:nvSpPr>
        <xdr:cNvPr id="5600747" name="Line 297">
          <a:extLst>
            <a:ext uri="{FF2B5EF4-FFF2-40B4-BE49-F238E27FC236}">
              <a16:creationId xmlns:a16="http://schemas.microsoft.com/office/drawing/2014/main" id="{00000000-0008-0000-0700-0000EB755500}"/>
            </a:ext>
          </a:extLst>
        </xdr:cNvPr>
        <xdr:cNvSpPr>
          <a:spLocks noChangeShapeType="1"/>
        </xdr:cNvSpPr>
      </xdr:nvSpPr>
      <xdr:spPr bwMode="auto">
        <a:xfrm>
          <a:off x="14820900" y="2032000"/>
          <a:ext cx="914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16</xdr:row>
      <xdr:rowOff>63500</xdr:rowOff>
    </xdr:from>
    <xdr:to>
      <xdr:col>17</xdr:col>
      <xdr:colOff>749300</xdr:colOff>
      <xdr:row>16</xdr:row>
      <xdr:rowOff>63500</xdr:rowOff>
    </xdr:to>
    <xdr:sp macro="" textlink="">
      <xdr:nvSpPr>
        <xdr:cNvPr id="5600748" name="Line 298">
          <a:extLst>
            <a:ext uri="{FF2B5EF4-FFF2-40B4-BE49-F238E27FC236}">
              <a16:creationId xmlns:a16="http://schemas.microsoft.com/office/drawing/2014/main" id="{00000000-0008-0000-0700-0000EC755500}"/>
            </a:ext>
          </a:extLst>
        </xdr:cNvPr>
        <xdr:cNvSpPr>
          <a:spLocks noChangeShapeType="1"/>
        </xdr:cNvSpPr>
      </xdr:nvSpPr>
      <xdr:spPr bwMode="auto">
        <a:xfrm>
          <a:off x="14820900" y="2832100"/>
          <a:ext cx="749300" cy="0"/>
        </a:xfrm>
        <a:prstGeom prst="line">
          <a:avLst/>
        </a:prstGeom>
        <a:noFill/>
        <a:ln w="9525">
          <a:solidFill>
            <a:srgbClr val="92D05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558800</xdr:colOff>
      <xdr:row>31</xdr:row>
      <xdr:rowOff>127000</xdr:rowOff>
    </xdr:from>
    <xdr:to>
      <xdr:col>17</xdr:col>
      <xdr:colOff>558800</xdr:colOff>
      <xdr:row>33</xdr:row>
      <xdr:rowOff>101600</xdr:rowOff>
    </xdr:to>
    <xdr:sp macro="" textlink="">
      <xdr:nvSpPr>
        <xdr:cNvPr id="5600749" name="Line 301">
          <a:extLst>
            <a:ext uri="{FF2B5EF4-FFF2-40B4-BE49-F238E27FC236}">
              <a16:creationId xmlns:a16="http://schemas.microsoft.com/office/drawing/2014/main" id="{00000000-0008-0000-0700-0000ED755500}"/>
            </a:ext>
          </a:extLst>
        </xdr:cNvPr>
        <xdr:cNvSpPr>
          <a:spLocks noChangeShapeType="1"/>
        </xdr:cNvSpPr>
      </xdr:nvSpPr>
      <xdr:spPr bwMode="auto">
        <a:xfrm flipH="1">
          <a:off x="15379700" y="5422900"/>
          <a:ext cx="0" cy="330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2</xdr:row>
      <xdr:rowOff>76200</xdr:rowOff>
    </xdr:from>
    <xdr:to>
      <xdr:col>17</xdr:col>
      <xdr:colOff>165100</xdr:colOff>
      <xdr:row>2</xdr:row>
      <xdr:rowOff>76200</xdr:rowOff>
    </xdr:to>
    <xdr:sp macro="" textlink="">
      <xdr:nvSpPr>
        <xdr:cNvPr id="5600750" name="Line 302">
          <a:extLst>
            <a:ext uri="{FF2B5EF4-FFF2-40B4-BE49-F238E27FC236}">
              <a16:creationId xmlns:a16="http://schemas.microsoft.com/office/drawing/2014/main" id="{00000000-0008-0000-0700-0000EE755500}"/>
            </a:ext>
          </a:extLst>
        </xdr:cNvPr>
        <xdr:cNvSpPr>
          <a:spLocks noChangeShapeType="1"/>
        </xdr:cNvSpPr>
      </xdr:nvSpPr>
      <xdr:spPr bwMode="auto">
        <a:xfrm>
          <a:off x="14820900" y="431800"/>
          <a:ext cx="165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1943100</xdr:colOff>
      <xdr:row>10</xdr:row>
      <xdr:rowOff>88900</xdr:rowOff>
    </xdr:from>
    <xdr:to>
      <xdr:col>20</xdr:col>
      <xdr:colOff>0</xdr:colOff>
      <xdr:row>10</xdr:row>
      <xdr:rowOff>88900</xdr:rowOff>
    </xdr:to>
    <xdr:sp macro="" textlink="">
      <xdr:nvSpPr>
        <xdr:cNvPr id="5600751" name="Line 303">
          <a:extLst>
            <a:ext uri="{FF2B5EF4-FFF2-40B4-BE49-F238E27FC236}">
              <a16:creationId xmlns:a16="http://schemas.microsoft.com/office/drawing/2014/main" id="{00000000-0008-0000-0700-0000EF755500}"/>
            </a:ext>
          </a:extLst>
        </xdr:cNvPr>
        <xdr:cNvSpPr>
          <a:spLocks noChangeShapeType="1"/>
        </xdr:cNvSpPr>
      </xdr:nvSpPr>
      <xdr:spPr bwMode="auto">
        <a:xfrm flipV="1">
          <a:off x="16065500" y="1841500"/>
          <a:ext cx="21336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203200</xdr:colOff>
      <xdr:row>12</xdr:row>
      <xdr:rowOff>76200</xdr:rowOff>
    </xdr:from>
    <xdr:to>
      <xdr:col>20</xdr:col>
      <xdr:colOff>0</xdr:colOff>
      <xdr:row>12</xdr:row>
      <xdr:rowOff>76200</xdr:rowOff>
    </xdr:to>
    <xdr:sp macro="" textlink="">
      <xdr:nvSpPr>
        <xdr:cNvPr id="5600752" name="Line 304">
          <a:extLst>
            <a:ext uri="{FF2B5EF4-FFF2-40B4-BE49-F238E27FC236}">
              <a16:creationId xmlns:a16="http://schemas.microsoft.com/office/drawing/2014/main" id="{00000000-0008-0000-0700-0000F0755500}"/>
            </a:ext>
          </a:extLst>
        </xdr:cNvPr>
        <xdr:cNvSpPr>
          <a:spLocks noChangeShapeType="1"/>
        </xdr:cNvSpPr>
      </xdr:nvSpPr>
      <xdr:spPr bwMode="auto">
        <a:xfrm flipV="1">
          <a:off x="16268700" y="2184400"/>
          <a:ext cx="19304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15</xdr:row>
      <xdr:rowOff>50800</xdr:rowOff>
    </xdr:from>
    <xdr:to>
      <xdr:col>19</xdr:col>
      <xdr:colOff>863600</xdr:colOff>
      <xdr:row>15</xdr:row>
      <xdr:rowOff>50800</xdr:rowOff>
    </xdr:to>
    <xdr:sp macro="" textlink="">
      <xdr:nvSpPr>
        <xdr:cNvPr id="5600753" name="Line 305">
          <a:extLst>
            <a:ext uri="{FF2B5EF4-FFF2-40B4-BE49-F238E27FC236}">
              <a16:creationId xmlns:a16="http://schemas.microsoft.com/office/drawing/2014/main" id="{00000000-0008-0000-0700-0000F1755500}"/>
            </a:ext>
          </a:extLst>
        </xdr:cNvPr>
        <xdr:cNvSpPr>
          <a:spLocks noChangeShapeType="1"/>
        </xdr:cNvSpPr>
      </xdr:nvSpPr>
      <xdr:spPr bwMode="auto">
        <a:xfrm flipV="1">
          <a:off x="17335500" y="2654300"/>
          <a:ext cx="8382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25400</xdr:colOff>
      <xdr:row>19</xdr:row>
      <xdr:rowOff>25400</xdr:rowOff>
    </xdr:from>
    <xdr:to>
      <xdr:col>19</xdr:col>
      <xdr:colOff>889000</xdr:colOff>
      <xdr:row>19</xdr:row>
      <xdr:rowOff>25400</xdr:rowOff>
    </xdr:to>
    <xdr:sp macro="" textlink="">
      <xdr:nvSpPr>
        <xdr:cNvPr id="5600754" name="Line 308">
          <a:extLst>
            <a:ext uri="{FF2B5EF4-FFF2-40B4-BE49-F238E27FC236}">
              <a16:creationId xmlns:a16="http://schemas.microsoft.com/office/drawing/2014/main" id="{00000000-0008-0000-0700-0000F2755500}"/>
            </a:ext>
          </a:extLst>
        </xdr:cNvPr>
        <xdr:cNvSpPr>
          <a:spLocks noChangeShapeType="1"/>
        </xdr:cNvSpPr>
      </xdr:nvSpPr>
      <xdr:spPr bwMode="auto">
        <a:xfrm flipH="1" flipV="1">
          <a:off x="17335500" y="3289300"/>
          <a:ext cx="863600" cy="0"/>
        </a:xfrm>
        <a:prstGeom prst="line">
          <a:avLst/>
        </a:prstGeom>
        <a:noFill/>
        <a:ln w="9525">
          <a:solidFill>
            <a:srgbClr val="92D050"/>
          </a:solidFill>
          <a:prstDash val="sysDot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889000</xdr:colOff>
      <xdr:row>28</xdr:row>
      <xdr:rowOff>88900</xdr:rowOff>
    </xdr:from>
    <xdr:to>
      <xdr:col>16</xdr:col>
      <xdr:colOff>355600</xdr:colOff>
      <xdr:row>28</xdr:row>
      <xdr:rowOff>88900</xdr:rowOff>
    </xdr:to>
    <xdr:sp macro="" textlink="">
      <xdr:nvSpPr>
        <xdr:cNvPr id="5600755" name="Line 310">
          <a:extLst>
            <a:ext uri="{FF2B5EF4-FFF2-40B4-BE49-F238E27FC236}">
              <a16:creationId xmlns:a16="http://schemas.microsoft.com/office/drawing/2014/main" id="{00000000-0008-0000-0700-0000F3755500}"/>
            </a:ext>
          </a:extLst>
        </xdr:cNvPr>
        <xdr:cNvSpPr>
          <a:spLocks noChangeShapeType="1"/>
        </xdr:cNvSpPr>
      </xdr:nvSpPr>
      <xdr:spPr bwMode="auto">
        <a:xfrm>
          <a:off x="13931900" y="4851400"/>
          <a:ext cx="355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254000</xdr:colOff>
      <xdr:row>27</xdr:row>
      <xdr:rowOff>127000</xdr:rowOff>
    </xdr:from>
    <xdr:to>
      <xdr:col>17</xdr:col>
      <xdr:colOff>76200</xdr:colOff>
      <xdr:row>27</xdr:row>
      <xdr:rowOff>127000</xdr:rowOff>
    </xdr:to>
    <xdr:sp macro="" textlink="">
      <xdr:nvSpPr>
        <xdr:cNvPr id="5600756" name="Line 277">
          <a:extLst>
            <a:ext uri="{FF2B5EF4-FFF2-40B4-BE49-F238E27FC236}">
              <a16:creationId xmlns:a16="http://schemas.microsoft.com/office/drawing/2014/main" id="{00000000-0008-0000-0700-0000F4755500}"/>
            </a:ext>
          </a:extLst>
        </xdr:cNvPr>
        <xdr:cNvSpPr>
          <a:spLocks noChangeShapeType="1"/>
        </xdr:cNvSpPr>
      </xdr:nvSpPr>
      <xdr:spPr bwMode="auto">
        <a:xfrm>
          <a:off x="14185900" y="4711700"/>
          <a:ext cx="711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457200</xdr:colOff>
      <xdr:row>28</xdr:row>
      <xdr:rowOff>127000</xdr:rowOff>
    </xdr:from>
    <xdr:to>
      <xdr:col>19</xdr:col>
      <xdr:colOff>88900</xdr:colOff>
      <xdr:row>28</xdr:row>
      <xdr:rowOff>127000</xdr:rowOff>
    </xdr:to>
    <xdr:sp macro="" textlink="">
      <xdr:nvSpPr>
        <xdr:cNvPr id="5600757" name="Line 280">
          <a:extLst>
            <a:ext uri="{FF2B5EF4-FFF2-40B4-BE49-F238E27FC236}">
              <a16:creationId xmlns:a16="http://schemas.microsoft.com/office/drawing/2014/main" id="{00000000-0008-0000-0700-0000F5755500}"/>
            </a:ext>
          </a:extLst>
        </xdr:cNvPr>
        <xdr:cNvSpPr>
          <a:spLocks noChangeShapeType="1"/>
        </xdr:cNvSpPr>
      </xdr:nvSpPr>
      <xdr:spPr bwMode="auto">
        <a:xfrm flipV="1">
          <a:off x="15278100" y="4889500"/>
          <a:ext cx="21209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177800</xdr:colOff>
      <xdr:row>30</xdr:row>
      <xdr:rowOff>50800</xdr:rowOff>
    </xdr:from>
    <xdr:to>
      <xdr:col>18</xdr:col>
      <xdr:colOff>1016000</xdr:colOff>
      <xdr:row>30</xdr:row>
      <xdr:rowOff>50800</xdr:rowOff>
    </xdr:to>
    <xdr:sp macro="" textlink="">
      <xdr:nvSpPr>
        <xdr:cNvPr id="5600758" name="Line 280">
          <a:extLst>
            <a:ext uri="{FF2B5EF4-FFF2-40B4-BE49-F238E27FC236}">
              <a16:creationId xmlns:a16="http://schemas.microsoft.com/office/drawing/2014/main" id="{00000000-0008-0000-0700-0000F6755500}"/>
            </a:ext>
          </a:extLst>
        </xdr:cNvPr>
        <xdr:cNvSpPr>
          <a:spLocks noChangeShapeType="1"/>
        </xdr:cNvSpPr>
      </xdr:nvSpPr>
      <xdr:spPr bwMode="auto">
        <a:xfrm>
          <a:off x="16243300" y="5168900"/>
          <a:ext cx="8382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1143000</xdr:colOff>
      <xdr:row>20</xdr:row>
      <xdr:rowOff>0</xdr:rowOff>
    </xdr:from>
    <xdr:to>
      <xdr:col>18</xdr:col>
      <xdr:colOff>177800</xdr:colOff>
      <xdr:row>30</xdr:row>
      <xdr:rowOff>50800</xdr:rowOff>
    </xdr:to>
    <xdr:sp macro="" textlink="">
      <xdr:nvSpPr>
        <xdr:cNvPr id="5600759" name="Rectangle 139">
          <a:extLst>
            <a:ext uri="{FF2B5EF4-FFF2-40B4-BE49-F238E27FC236}">
              <a16:creationId xmlns:a16="http://schemas.microsoft.com/office/drawing/2014/main" id="{00000000-0008-0000-0700-0000F7755500}"/>
            </a:ext>
          </a:extLst>
        </xdr:cNvPr>
        <xdr:cNvSpPr>
          <a:spLocks noChangeArrowheads="1"/>
        </xdr:cNvSpPr>
      </xdr:nvSpPr>
      <xdr:spPr bwMode="auto">
        <a:xfrm>
          <a:off x="15963900" y="3429000"/>
          <a:ext cx="279400" cy="1739900"/>
        </a:xfrm>
        <a:prstGeom prst="rect">
          <a:avLst/>
        </a:prstGeom>
        <a:noFill/>
        <a:ln w="9525" algn="ctr">
          <a:solidFill>
            <a:srgbClr val="00B0F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1016000</xdr:colOff>
      <xdr:row>1</xdr:row>
      <xdr:rowOff>12700</xdr:rowOff>
    </xdr:from>
    <xdr:to>
      <xdr:col>18</xdr:col>
      <xdr:colOff>1016000</xdr:colOff>
      <xdr:row>29</xdr:row>
      <xdr:rowOff>76200</xdr:rowOff>
    </xdr:to>
    <xdr:sp macro="" textlink="">
      <xdr:nvSpPr>
        <xdr:cNvPr id="5600760" name="Line 270">
          <a:extLst>
            <a:ext uri="{FF2B5EF4-FFF2-40B4-BE49-F238E27FC236}">
              <a16:creationId xmlns:a16="http://schemas.microsoft.com/office/drawing/2014/main" id="{00000000-0008-0000-0700-0000F8755500}"/>
            </a:ext>
          </a:extLst>
        </xdr:cNvPr>
        <xdr:cNvSpPr>
          <a:spLocks noChangeShapeType="1"/>
        </xdr:cNvSpPr>
      </xdr:nvSpPr>
      <xdr:spPr bwMode="auto">
        <a:xfrm flipH="1">
          <a:off x="17081500" y="190500"/>
          <a:ext cx="0" cy="48260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12700</xdr:colOff>
      <xdr:row>33</xdr:row>
      <xdr:rowOff>101600</xdr:rowOff>
    </xdr:from>
    <xdr:to>
      <xdr:col>17</xdr:col>
      <xdr:colOff>571500</xdr:colOff>
      <xdr:row>33</xdr:row>
      <xdr:rowOff>101600</xdr:rowOff>
    </xdr:to>
    <xdr:sp macro="" textlink="">
      <xdr:nvSpPr>
        <xdr:cNvPr id="5600761" name="Line 301">
          <a:extLst>
            <a:ext uri="{FF2B5EF4-FFF2-40B4-BE49-F238E27FC236}">
              <a16:creationId xmlns:a16="http://schemas.microsoft.com/office/drawing/2014/main" id="{00000000-0008-0000-0700-0000F9755500}"/>
            </a:ext>
          </a:extLst>
        </xdr:cNvPr>
        <xdr:cNvSpPr>
          <a:spLocks noChangeShapeType="1"/>
        </xdr:cNvSpPr>
      </xdr:nvSpPr>
      <xdr:spPr bwMode="auto">
        <a:xfrm>
          <a:off x="14833600" y="5753100"/>
          <a:ext cx="558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863600</xdr:colOff>
      <xdr:row>1</xdr:row>
      <xdr:rowOff>25400</xdr:rowOff>
    </xdr:from>
    <xdr:to>
      <xdr:col>18</xdr:col>
      <xdr:colOff>863600</xdr:colOff>
      <xdr:row>30</xdr:row>
      <xdr:rowOff>38100</xdr:rowOff>
    </xdr:to>
    <xdr:sp macro="" textlink="">
      <xdr:nvSpPr>
        <xdr:cNvPr id="5600762" name="Line 270">
          <a:extLst>
            <a:ext uri="{FF2B5EF4-FFF2-40B4-BE49-F238E27FC236}">
              <a16:creationId xmlns:a16="http://schemas.microsoft.com/office/drawing/2014/main" id="{00000000-0008-0000-0700-0000FA755500}"/>
            </a:ext>
          </a:extLst>
        </xdr:cNvPr>
        <xdr:cNvSpPr>
          <a:spLocks noChangeShapeType="1"/>
        </xdr:cNvSpPr>
      </xdr:nvSpPr>
      <xdr:spPr bwMode="auto">
        <a:xfrm>
          <a:off x="16929100" y="203200"/>
          <a:ext cx="0" cy="4953000"/>
        </a:xfrm>
        <a:prstGeom prst="line">
          <a:avLst/>
        </a:prstGeom>
        <a:noFill/>
        <a:ln w="6350">
          <a:solidFill>
            <a:srgbClr val="000000"/>
          </a:solidFill>
          <a:round/>
          <a:headEnd type="triangle" w="sm" len="lg"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6" Type="http://schemas.openxmlformats.org/officeDocument/2006/relationships/comments" Target="../comments1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oleObject" Target="../embeddings/oleObject1.bin"/><Relationship Id="rId7" Type="http://schemas.openxmlformats.org/officeDocument/2006/relationships/ctrlProp" Target="../ctrlProps/ctrlProp1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10" Type="http://schemas.openxmlformats.org/officeDocument/2006/relationships/comments" Target="../comments2.xml"/><Relationship Id="rId4" Type="http://schemas.openxmlformats.org/officeDocument/2006/relationships/image" Target="../media/image6.emf"/><Relationship Id="rId9" Type="http://schemas.openxmlformats.org/officeDocument/2006/relationships/ctrlProp" Target="../ctrlProps/ctrlProp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7.e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25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image" Target="../media/image38.emf"/><Relationship Id="rId2" Type="http://schemas.openxmlformats.org/officeDocument/2006/relationships/hyperlink" Target="http://www.planete-sciences.org/espace/basedoc/" TargetMode="External"/><Relationship Id="rId16" Type="http://schemas.openxmlformats.org/officeDocument/2006/relationships/image" Target="../media/image12.emf"/><Relationship Id="rId29" Type="http://schemas.openxmlformats.org/officeDocument/2006/relationships/oleObject" Target="../embeddings/oleObject14.bin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6.emf"/><Relationship Id="rId32" Type="http://schemas.openxmlformats.org/officeDocument/2006/relationships/image" Target="../media/image20.emf"/><Relationship Id="rId37" Type="http://schemas.openxmlformats.org/officeDocument/2006/relationships/oleObject" Target="../embeddings/oleObject18.bin"/><Relationship Id="rId40" Type="http://schemas.openxmlformats.org/officeDocument/2006/relationships/image" Target="../media/image24.emf"/><Relationship Id="rId45" Type="http://schemas.openxmlformats.org/officeDocument/2006/relationships/oleObject" Target="../embeddings/oleObject22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33.emf"/><Relationship Id="rId66" Type="http://schemas.openxmlformats.org/officeDocument/2006/relationships/image" Target="../media/image37.emf"/><Relationship Id="rId74" Type="http://schemas.openxmlformats.org/officeDocument/2006/relationships/image" Target="../media/image41.emf"/><Relationship Id="rId5" Type="http://schemas.openxmlformats.org/officeDocument/2006/relationships/oleObject" Target="../embeddings/oleObject2.bin"/><Relationship Id="rId61" Type="http://schemas.openxmlformats.org/officeDocument/2006/relationships/oleObject" Target="../embeddings/oleObject30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11.emf"/><Relationship Id="rId22" Type="http://schemas.openxmlformats.org/officeDocument/2006/relationships/image" Target="../media/image15.emf"/><Relationship Id="rId27" Type="http://schemas.openxmlformats.org/officeDocument/2006/relationships/oleObject" Target="../embeddings/oleObject13.bin"/><Relationship Id="rId30" Type="http://schemas.openxmlformats.org/officeDocument/2006/relationships/image" Target="../media/image19.emf"/><Relationship Id="rId35" Type="http://schemas.openxmlformats.org/officeDocument/2006/relationships/oleObject" Target="../embeddings/oleObject17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8.emf"/><Relationship Id="rId56" Type="http://schemas.openxmlformats.org/officeDocument/2006/relationships/image" Target="../media/image32.emf"/><Relationship Id="rId64" Type="http://schemas.openxmlformats.org/officeDocument/2006/relationships/image" Target="../media/image36.emf"/><Relationship Id="rId69" Type="http://schemas.openxmlformats.org/officeDocument/2006/relationships/oleObject" Target="../embeddings/oleObject34.bin"/><Relationship Id="rId8" Type="http://schemas.openxmlformats.org/officeDocument/2006/relationships/image" Target="../media/image8.emf"/><Relationship Id="rId51" Type="http://schemas.openxmlformats.org/officeDocument/2006/relationships/oleObject" Target="../embeddings/oleObject25.bin"/><Relationship Id="rId72" Type="http://schemas.openxmlformats.org/officeDocument/2006/relationships/image" Target="../media/image40.emf"/><Relationship Id="rId3" Type="http://schemas.openxmlformats.org/officeDocument/2006/relationships/drawing" Target="../drawings/drawing5.xml"/><Relationship Id="rId12" Type="http://schemas.openxmlformats.org/officeDocument/2006/relationships/image" Target="../media/image10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23.emf"/><Relationship Id="rId46" Type="http://schemas.openxmlformats.org/officeDocument/2006/relationships/image" Target="../media/image27.e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14.e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31.emf"/><Relationship Id="rId62" Type="http://schemas.openxmlformats.org/officeDocument/2006/relationships/image" Target="../media/image35.emf"/><Relationship Id="rId70" Type="http://schemas.openxmlformats.org/officeDocument/2006/relationships/image" Target="../media/image39.emf"/><Relationship Id="rId75" Type="http://schemas.openxmlformats.org/officeDocument/2006/relationships/oleObject" Target="../embeddings/oleObject37.bin"/><Relationship Id="rId1" Type="http://schemas.openxmlformats.org/officeDocument/2006/relationships/hyperlink" Target="http://en.wikipedia.org/wiki/Template:Numerical_integrators" TargetMode="External"/><Relationship Id="rId6" Type="http://schemas.openxmlformats.org/officeDocument/2006/relationships/image" Target="../media/image7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8.emf"/><Relationship Id="rId36" Type="http://schemas.openxmlformats.org/officeDocument/2006/relationships/image" Target="../media/image22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9.e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6.emf"/><Relationship Id="rId52" Type="http://schemas.openxmlformats.org/officeDocument/2006/relationships/image" Target="../media/image30.emf"/><Relationship Id="rId60" Type="http://schemas.openxmlformats.org/officeDocument/2006/relationships/image" Target="../media/image34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6.bin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13.e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21.emf"/><Relationship Id="rId50" Type="http://schemas.openxmlformats.org/officeDocument/2006/relationships/image" Target="../media/image29.emf"/><Relationship Id="rId55" Type="http://schemas.openxmlformats.org/officeDocument/2006/relationships/oleObject" Target="../embeddings/oleObject27.bin"/><Relationship Id="rId76" Type="http://schemas.openxmlformats.org/officeDocument/2006/relationships/image" Target="../media/image42.emf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8.bin"/><Relationship Id="rId7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image" Target="../media/image4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reativecommons.org/licenses/by-sa/3.0/" TargetMode="External"/><Relationship Id="rId2" Type="http://schemas.openxmlformats.org/officeDocument/2006/relationships/hyperlink" Target="mailto:espace@planete-sciences.org" TargetMode="External"/><Relationship Id="rId1" Type="http://schemas.openxmlformats.org/officeDocument/2006/relationships/hyperlink" Target="http://www.planete-sciences.org/espace/basedoc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EE12-8C19-9F4B-B63B-E6B4AC5B4D7E}">
  <sheetPr codeName="Feuil2">
    <pageSetUpPr fitToPage="1"/>
  </sheetPr>
  <dimension ref="A1:W361"/>
  <sheetViews>
    <sheetView showGridLines="0" tabSelected="1" topLeftCell="A5" zoomScale="160" zoomScaleNormal="160" zoomScaleSheetLayoutView="100" workbookViewId="0">
      <selection activeCell="C13" sqref="C13:D13"/>
    </sheetView>
  </sheetViews>
  <sheetFormatPr baseColWidth="10" defaultColWidth="11.28515625" defaultRowHeight="12.75" x14ac:dyDescent="0.2"/>
  <cols>
    <col min="1" max="1" width="2.140625" style="24" customWidth="1"/>
    <col min="2" max="2" width="16.28515625" style="24" customWidth="1"/>
    <col min="3" max="3" width="12.85546875" style="31" customWidth="1"/>
    <col min="4" max="4" width="12.85546875" style="24" customWidth="1"/>
    <col min="5" max="5" width="4.140625" style="89" customWidth="1"/>
    <col min="6" max="6" width="10.140625" style="26" bestFit="1" customWidth="1"/>
    <col min="7" max="7" width="10" style="26" bestFit="1" customWidth="1"/>
    <col min="8" max="9" width="8.7109375" style="26" customWidth="1"/>
    <col min="10" max="10" width="5.28515625" style="24" customWidth="1"/>
    <col min="11" max="11" width="2.140625" style="24" customWidth="1"/>
    <col min="12" max="12" width="17" style="24" customWidth="1"/>
    <col min="13" max="13" width="8.7109375" style="24" customWidth="1"/>
    <col min="14" max="15" width="4.28515625" style="24" customWidth="1"/>
    <col min="16" max="16" width="8.7109375" style="24" customWidth="1"/>
    <col min="17" max="18" width="2.140625" style="24" customWidth="1"/>
    <col min="19" max="16384" width="11.28515625" style="24"/>
  </cols>
  <sheetData>
    <row r="1" spans="1:20" ht="12.75" customHeight="1" x14ac:dyDescent="0.2">
      <c r="A1" s="19"/>
      <c r="B1" s="20"/>
      <c r="C1" s="21"/>
      <c r="D1" s="20"/>
      <c r="E1" s="88"/>
      <c r="F1" s="22"/>
      <c r="G1" s="22"/>
      <c r="H1" s="22"/>
      <c r="I1" s="22"/>
      <c r="J1" s="20"/>
      <c r="K1" s="20"/>
      <c r="L1" s="20"/>
      <c r="M1" s="20"/>
      <c r="N1" s="20"/>
      <c r="O1" s="20"/>
      <c r="P1" s="20"/>
      <c r="Q1" s="23"/>
    </row>
    <row r="2" spans="1:20" ht="12.75" customHeight="1" x14ac:dyDescent="0.2">
      <c r="A2" s="25"/>
      <c r="C2" s="564" t="s">
        <v>56</v>
      </c>
      <c r="D2" s="564"/>
      <c r="L2" s="147" t="str">
        <f>"Language/Langue"</f>
        <v>Language/Langue</v>
      </c>
      <c r="M2" s="547" t="s">
        <v>1</v>
      </c>
      <c r="N2" s="547"/>
      <c r="O2" s="547"/>
      <c r="P2" s="548"/>
      <c r="Q2" s="27"/>
    </row>
    <row r="3" spans="1:20" ht="12.75" customHeight="1" x14ac:dyDescent="0.2">
      <c r="A3" s="25"/>
      <c r="C3" s="564"/>
      <c r="D3" s="564"/>
      <c r="L3" s="558"/>
      <c r="M3" s="558"/>
      <c r="N3" s="45"/>
      <c r="Q3" s="27"/>
    </row>
    <row r="4" spans="1:20" ht="12.75" customHeight="1" x14ac:dyDescent="0.2">
      <c r="A4" s="25"/>
      <c r="C4" s="565" t="str">
        <f>IF(Lang="Français","Stabilité de fusée à ailerons",IF(Lang="English","Stability for rocket with fins",""))</f>
        <v>Stabilité de fusée à ailerons</v>
      </c>
      <c r="D4" s="565"/>
      <c r="L4" s="33"/>
      <c r="M4" s="547" t="s">
        <v>555</v>
      </c>
      <c r="N4" s="547"/>
      <c r="O4" s="547"/>
      <c r="P4" s="548"/>
      <c r="Q4" s="27"/>
    </row>
    <row r="5" spans="1:20" ht="12.75" customHeight="1" x14ac:dyDescent="0.25">
      <c r="A5" s="25"/>
      <c r="B5" s="28"/>
      <c r="C5" s="577"/>
      <c r="D5" s="577"/>
      <c r="L5" s="33"/>
      <c r="M5" s="554" t="s">
        <v>159</v>
      </c>
      <c r="N5" s="555"/>
      <c r="O5" s="561" t="s">
        <v>160</v>
      </c>
      <c r="P5" s="561"/>
      <c r="Q5" s="29"/>
    </row>
    <row r="6" spans="1:20" ht="12.75" customHeight="1" thickBot="1" x14ac:dyDescent="0.25">
      <c r="A6" s="25"/>
      <c r="B6" s="87"/>
      <c r="C6" s="587" t="str">
        <f>IF(Lang="Français","Remplir les cases jaunes",IF(Lang="English","Fill-in yellow cells only",""))</f>
        <v>Remplir les cases jaunes</v>
      </c>
      <c r="D6" s="587"/>
      <c r="L6" s="139" t="str">
        <f>IF(Lang="Français","Longueur      'L'",IF(Lang="English","Length      'L'",""))</f>
        <v>Longueur      'L'</v>
      </c>
      <c r="M6" s="556">
        <v>75</v>
      </c>
      <c r="N6" s="557"/>
      <c r="O6" s="553">
        <v>50</v>
      </c>
      <c r="P6" s="553"/>
      <c r="Q6" s="29"/>
    </row>
    <row r="7" spans="1:20" ht="12.75" customHeight="1" thickTop="1" thickBot="1" x14ac:dyDescent="0.25">
      <c r="A7" s="25"/>
      <c r="B7" s="31"/>
      <c r="C7" s="567" t="str">
        <f>IF(Lang="Français","Fusée",IF(Lang="English","Rocket",""))</f>
        <v>Fusée</v>
      </c>
      <c r="D7" s="568"/>
      <c r="L7" s="139" t="str">
        <f>IF(Lang="Français","Diamètre     'D1'",IF(Lang="English","Diameter 'D1'",""))</f>
        <v>Diamètre     'D1'</v>
      </c>
      <c r="M7" s="556">
        <f>D_og</f>
        <v>84</v>
      </c>
      <c r="N7" s="557"/>
      <c r="O7" s="553">
        <f>D_ref</f>
        <v>104</v>
      </c>
      <c r="P7" s="553"/>
      <c r="Q7" s="29"/>
    </row>
    <row r="8" spans="1:20" ht="12.75" customHeight="1" thickTop="1" x14ac:dyDescent="0.2">
      <c r="A8" s="25"/>
      <c r="B8" s="138" t="str">
        <f>IF(Lang="Français","Nom",IF(Lang="English","Name",""))</f>
        <v>Nom</v>
      </c>
      <c r="C8" s="571" t="s">
        <v>162</v>
      </c>
      <c r="D8" s="571"/>
      <c r="E8" s="90"/>
      <c r="K8" s="33"/>
      <c r="L8" s="139" t="str">
        <f>IF(Lang="Français","Diamètre     'D2'",IF(Lang="English","Diameter 'D2'",""))</f>
        <v>Diamètre     'D2'</v>
      </c>
      <c r="M8" s="556">
        <f>D_ref</f>
        <v>104</v>
      </c>
      <c r="N8" s="557"/>
      <c r="O8" s="553">
        <f>D_ref</f>
        <v>104</v>
      </c>
      <c r="P8" s="553"/>
      <c r="Q8" s="29"/>
    </row>
    <row r="9" spans="1:20" ht="12.75" customHeight="1" x14ac:dyDescent="0.2">
      <c r="A9" s="25"/>
      <c r="B9" s="138" t="s">
        <v>4</v>
      </c>
      <c r="C9" s="572" t="s">
        <v>166</v>
      </c>
      <c r="D9" s="572"/>
      <c r="E9" s="90"/>
      <c r="K9" s="33"/>
      <c r="L9" s="139" t="str">
        <f>IF(Lang="Français","Implantation 'x'",IF(Lang="English","Basement 'x'",""))</f>
        <v>Implantation 'x'</v>
      </c>
      <c r="M9" s="556">
        <v>1035</v>
      </c>
      <c r="N9" s="557"/>
      <c r="O9" s="553">
        <f>Long_tot-l_r</f>
        <v>1942</v>
      </c>
      <c r="P9" s="553"/>
      <c r="Q9" s="29"/>
    </row>
    <row r="10" spans="1:20" ht="12.75" customHeight="1" x14ac:dyDescent="0.2">
      <c r="A10" s="25"/>
      <c r="B10" s="139" t="s">
        <v>57</v>
      </c>
      <c r="C10" s="569" t="s">
        <v>553</v>
      </c>
      <c r="D10" s="570"/>
      <c r="E10" s="90"/>
      <c r="K10" s="33"/>
      <c r="Q10" s="29"/>
    </row>
    <row r="11" spans="1:20" ht="12.75" customHeight="1" x14ac:dyDescent="0.2">
      <c r="A11" s="25"/>
      <c r="B11" s="139" t="str">
        <f>IF(Lang="Français","Masse",IF(Lang="English","Weight",""))</f>
        <v>Masse</v>
      </c>
      <c r="C11" s="222">
        <v>6830</v>
      </c>
      <c r="D11" s="34" t="s">
        <v>429</v>
      </c>
      <c r="E11" s="90"/>
      <c r="K11" s="33"/>
      <c r="L11" s="107"/>
      <c r="M11" s="224" t="str">
        <f>IF(Lang="Français","Propu plein",IF(Lang="English","Loaded Motor",""))</f>
        <v>Propu plein</v>
      </c>
      <c r="N11" s="559" t="str">
        <f>IF(Lang="Français","Propu vide",IF(Lang="English","Empty Motor",""))</f>
        <v>Propu vide</v>
      </c>
      <c r="O11" s="560"/>
      <c r="P11" s="224" t="str">
        <f>IF(Lang="Français","Sans propu",IF(Lang="English","Without M",""))</f>
        <v>Sans propu</v>
      </c>
      <c r="Q11" s="29"/>
      <c r="S11" s="385"/>
      <c r="T11" s="386" t="str">
        <f>IF(Lang="Français","Propulseur",IF(Lang="English","Motor",""))</f>
        <v>Propulseur</v>
      </c>
    </row>
    <row r="12" spans="1:20" ht="12.75" customHeight="1" x14ac:dyDescent="0.2">
      <c r="A12" s="25"/>
      <c r="B12" s="139" t="str">
        <f>IF(Lang="Français","Centre de Masse",IF(Lang="English","Center of Mass",""))</f>
        <v>Centre de Masse</v>
      </c>
      <c r="C12" s="35">
        <v>1000</v>
      </c>
      <c r="D12" s="34" t="s">
        <v>429</v>
      </c>
      <c r="L12" s="108" t="str">
        <f>IF(Lang="Français","Masse propu",IF(Lang="English","Motor Mass",""))</f>
        <v>Masse propu</v>
      </c>
      <c r="M12" s="109">
        <f ca="1">MpropuPlein</f>
        <v>1.6850000000000001</v>
      </c>
      <c r="N12" s="551">
        <f ca="1">MpropuVide</f>
        <v>0.65200000000000002</v>
      </c>
      <c r="O12" s="552"/>
      <c r="P12" s="110" t="s">
        <v>14</v>
      </c>
      <c r="Q12" s="29"/>
      <c r="S12" s="386" t="str">
        <f>IF(Lang="Français","Haut",IF(Lang="English","Top",""))</f>
        <v>Haut</v>
      </c>
      <c r="T12" s="387">
        <f ca="1">XpropuRef-Long_propu</f>
        <v>1504</v>
      </c>
    </row>
    <row r="13" spans="1:20" ht="12.75" customHeight="1" x14ac:dyDescent="0.2">
      <c r="A13" s="25"/>
      <c r="B13" s="139" t="str">
        <f>IF(Lang="Français","Longueur totale",IF(Lang="English","Total length",""))</f>
        <v>Longueur totale</v>
      </c>
      <c r="C13" s="556">
        <v>1992</v>
      </c>
      <c r="D13" s="557"/>
      <c r="L13" s="108" t="str">
        <f>IF(Lang="Français","CdM propu",IF(Lang="English","Motor CoM",""))</f>
        <v>CdM propu</v>
      </c>
      <c r="M13" s="111">
        <f ca="1">XpropuPlein</f>
        <v>250</v>
      </c>
      <c r="N13" s="549">
        <f ca="1">XpropuVide</f>
        <v>240</v>
      </c>
      <c r="O13" s="550"/>
      <c r="P13" s="110" t="s">
        <v>14</v>
      </c>
      <c r="Q13" s="29"/>
      <c r="S13" s="386" t="str">
        <f>IF(Lang="Français","Longueur",IF(Lang="English","Length",""))</f>
        <v>Longueur</v>
      </c>
      <c r="T13" s="387">
        <f ca="1">Long_propu</f>
        <v>488</v>
      </c>
    </row>
    <row r="14" spans="1:20" ht="12.75" customHeight="1" x14ac:dyDescent="0.2">
      <c r="A14" s="25"/>
      <c r="B14" s="139" t="str">
        <f>IF(Lang="Français","Diamètre Réf.",IF(Lang="English","Ref. Diameter",""))</f>
        <v>Diamètre Réf.</v>
      </c>
      <c r="C14" s="556">
        <v>104</v>
      </c>
      <c r="D14" s="557"/>
      <c r="L14" s="108" t="str">
        <f>IF(Lang="Français","Masse fusée",IF(Lang="English","Rocket Mass",""))</f>
        <v>Masse fusée</v>
      </c>
      <c r="M14" s="112">
        <f ca="1">MasseSans+MpropuPlein</f>
        <v>8.5150000000000006</v>
      </c>
      <c r="N14" s="573">
        <f ca="1">MasseSans+MpropuVide</f>
        <v>7.4820000000000002</v>
      </c>
      <c r="O14" s="574"/>
      <c r="P14" s="109">
        <f>IF(OR(D11="sans propu",D11="without motor"),C11/1000,IF(OR(D11="avec propu vide",D11="with empty motor"),C11/1000-MpropuVide,IF(OR(D11="avec propu plein",D11="with loaded motor"),C11/1000-MpropuPlein,"Erreur")))</f>
        <v>6.83</v>
      </c>
      <c r="Q14" s="29"/>
      <c r="S14" s="386" t="str">
        <f>IF(Lang="Français","Bas",IF(Lang="English","Base",""))</f>
        <v>Bas</v>
      </c>
      <c r="T14" s="387">
        <f>XpropuRef</f>
        <v>1992</v>
      </c>
    </row>
    <row r="15" spans="1:20" ht="12.75" customHeight="1" thickBot="1" x14ac:dyDescent="0.25">
      <c r="A15" s="25"/>
      <c r="D15" s="31"/>
      <c r="L15" s="175" t="str">
        <f>IF(Lang="Français","CdM fusée",IF(Lang="English","Rocket CoM",""))</f>
        <v>CdM fusée</v>
      </c>
      <c r="M15" s="176">
        <f ca="1">(XcgSans*MasseSans+(XpropuRef-Long_propu+XpropuPlein)*MpropuPlein)/MassePlein</f>
        <v>1149.206106870229</v>
      </c>
      <c r="N15" s="575">
        <f ca="1">(XcgSans*MasseSans+(XpropuRef-Long_propu+XpropuVide)*MpropuVide)/MasseVide</f>
        <v>1064.8340016038492</v>
      </c>
      <c r="O15" s="576"/>
      <c r="P15" s="113">
        <f>IF(OR(D12="sans propu",D12="without motor"),C12,IF(OR(D12="avec propu vide",D12="with empty motor"),(C12*MasseVide-(XpropuRef-Long_propu+XpropuVide)*MpropuVide)/MasseSans,IF(OR(D12="avec propu plein",D12="with loaded motor"),(C12*MassePlein-(XpropuRef-Long_propu+XpropuPlein)*MpropuPlein)/MasseSans,"Erreur")))</f>
        <v>1000</v>
      </c>
      <c r="Q15" s="29"/>
    </row>
    <row r="16" spans="1:20" ht="12.75" customHeight="1" thickTop="1" thickBot="1" x14ac:dyDescent="0.25">
      <c r="A16" s="25"/>
      <c r="C16" s="579" t="str">
        <f>IF(Lang="Français","Propulseur",IF(Lang="English","Motor",""))</f>
        <v>Propulseur</v>
      </c>
      <c r="D16" s="580"/>
      <c r="L16" s="94"/>
      <c r="M16" s="94"/>
      <c r="N16" s="94"/>
      <c r="O16" s="94"/>
      <c r="P16" s="94"/>
      <c r="Q16" s="29"/>
      <c r="S16" s="385"/>
      <c r="T16" s="386" t="str">
        <f>IF(RIGHT(Type_masquage,1)=",",IF(Lang="Français","Ailerons","Fins"),IF(Lang="Français","Ailerons bas","Lower Fins"))</f>
        <v>Ailerons bas</v>
      </c>
    </row>
    <row r="17" spans="1:20" ht="12.75" customHeight="1" thickTop="1" x14ac:dyDescent="0.2">
      <c r="A17" s="25"/>
      <c r="B17" s="139" t="s">
        <v>57</v>
      </c>
      <c r="C17" s="581" t="s">
        <v>45</v>
      </c>
      <c r="D17" s="582"/>
      <c r="L17" s="114"/>
      <c r="M17" s="545" t="s">
        <v>58</v>
      </c>
      <c r="N17" s="546"/>
      <c r="O17" s="535" t="s">
        <v>68</v>
      </c>
      <c r="P17" s="535"/>
      <c r="Q17" s="29"/>
      <c r="S17" s="386" t="str">
        <f>IF(Lang="Français","Haut","Top")</f>
        <v>Haut</v>
      </c>
      <c r="T17" s="387">
        <f>X_ail-m_ail</f>
        <v>1782</v>
      </c>
    </row>
    <row r="18" spans="1:20" ht="12.75" customHeight="1" x14ac:dyDescent="0.2">
      <c r="A18" s="25"/>
      <c r="B18" s="139" t="str">
        <f>IF(Lang="Français","Position du bas",IF(Lang="English","Basement",""))</f>
        <v>Position du bas</v>
      </c>
      <c r="C18" s="553">
        <f>Long_tot</f>
        <v>1992</v>
      </c>
      <c r="D18" s="553"/>
      <c r="K18" s="37"/>
      <c r="L18" s="108" t="str">
        <f>IF(Lang="Français","Coiffe",IF(Lang="English","Nose Cone",""))</f>
        <v>Coiffe</v>
      </c>
      <c r="M18" s="543">
        <f>IF(LEFT(Forme_ogive,5)="Parab",1/2*Long_ogive,IF(LEFT(Forme_ogive,4)="Ogiv",7/15*Long_ogive,IF(LEFT(Forme_ogive,3)="Con",2/3*Long_ogive)))</f>
        <v>183.33333333333331</v>
      </c>
      <c r="N18" s="544"/>
      <c r="O18" s="536">
        <f>2*POWER(D_og/D_ref, 2)</f>
        <v>1.304733727810651</v>
      </c>
      <c r="P18" s="536"/>
      <c r="Q18" s="29"/>
      <c r="S18" s="386" t="str">
        <f>IF(Lang="Français","Emplanture","Root edge")</f>
        <v>Emplanture</v>
      </c>
      <c r="T18" s="387">
        <f>m_ail</f>
        <v>190</v>
      </c>
    </row>
    <row r="19" spans="1:20" ht="12.75" customHeight="1" thickBot="1" x14ac:dyDescent="0.25">
      <c r="A19" s="25"/>
      <c r="B19" s="428" t="str">
        <f>IF(Propu="Cariacou","Cariacou :"," ")</f>
        <v xml:space="preserve"> </v>
      </c>
      <c r="C19" s="590" t="str">
        <f>IF(Propu="Cariacou",IF(Lang="Français","Campagne nationale",IF(Lang="English","National campagn only","")),"")</f>
        <v/>
      </c>
      <c r="D19" s="590"/>
      <c r="L19" s="108" t="str">
        <f>IF(Lang="Français","Ailerons",IF(Lang="English","Fins",""))</f>
        <v>Ailerons</v>
      </c>
      <c r="M19" s="543">
        <f>(XCpa*Cnail-0.5*XCpi*Cni)/Cnai</f>
        <v>1887.1050301032392</v>
      </c>
      <c r="N19" s="544"/>
      <c r="O19" s="583">
        <f>Cnail-Cni/2</f>
        <v>8.7623033028722048</v>
      </c>
      <c r="P19" s="584"/>
      <c r="Q19" s="29"/>
      <c r="S19" s="386" t="str">
        <f>IF(Lang="Français","Bas","Base")</f>
        <v>Bas</v>
      </c>
      <c r="T19" s="387">
        <f>X_ail</f>
        <v>1972</v>
      </c>
    </row>
    <row r="20" spans="1:20" ht="12.75" customHeight="1" thickTop="1" thickBot="1" x14ac:dyDescent="0.25">
      <c r="A20" s="25"/>
      <c r="B20" s="30"/>
      <c r="C20" s="585" t="str">
        <f>IF(Lang="Français","Coiffe",IF(Lang="English","Nose Cone",""))</f>
        <v>Coiffe</v>
      </c>
      <c r="D20" s="586"/>
      <c r="L20" s="108" t="str">
        <f>IF(Lang="Français","Ail bas entier",IF(Lang="English","Total Lower Fins",""))</f>
        <v>Ail bas entier</v>
      </c>
      <c r="M20" s="543">
        <f>X_ail-m_ail+p_ail*(m_ail+2*n_ail)/(3*(m_ail+n_ail))+(m_ail+n_ail-m_ail*n_ail/(m_ail+n_ail))/6</f>
        <v>1881.516129032258</v>
      </c>
      <c r="N20" s="544"/>
      <c r="O20" s="536">
        <f>4*Q_ail*POWER((E_ail/D_ref),2)*(1+D_ail/(2*E_ail+D_ail))/(1+SQRT(1+POWER(2*f_ail/(m_ail+n_ail),2)))</f>
        <v>13.163035970360488</v>
      </c>
      <c r="P20" s="536"/>
      <c r="Q20" s="29"/>
    </row>
    <row r="21" spans="1:20" ht="12.75" customHeight="1" thickTop="1" x14ac:dyDescent="0.2">
      <c r="A21" s="25"/>
      <c r="B21" s="139" t="str">
        <f>IF(Lang="Français","Forme",IF(Lang="English","Shape",""))</f>
        <v>Forme</v>
      </c>
      <c r="C21" s="562" t="s">
        <v>554</v>
      </c>
      <c r="D21" s="563"/>
      <c r="L21" s="108" t="str">
        <f>IF(Lang="Français","Ailerons haut",IF(Lang="English","Upper Fins",""))</f>
        <v>Ailerons haut</v>
      </c>
      <c r="M21" s="543">
        <f>IF(LEFT(Type_masquage,1)="M",0, X_can-m_can+p_can*(m_can+2*n_can)/(3*(m_can+n_can))+(m_can+n_can-m_can*n_can/(m_can+n_can))/6)</f>
        <v>959.2</v>
      </c>
      <c r="N21" s="544"/>
      <c r="O21" s="536">
        <f>IF(LEFT(Type_masquage,1)="M",0, 4*Q_can*POWER((E_can/D_ref),2)*(1+D_can/(2*E_can+D_can))/(1+SQRT(1+POWER(2*f_can/(m_can+n_can),2))))</f>
        <v>9.0168489800149274</v>
      </c>
      <c r="P21" s="536"/>
      <c r="Q21" s="29"/>
    </row>
    <row r="22" spans="1:20" ht="12.75" customHeight="1" x14ac:dyDescent="0.2">
      <c r="A22" s="25"/>
      <c r="B22" s="139" t="str">
        <f>IF(Lang="Français","Hauteur",IF(Lang="English","Heigth",""))</f>
        <v>Hauteur</v>
      </c>
      <c r="C22" s="556">
        <v>275</v>
      </c>
      <c r="D22" s="557"/>
      <c r="L22" s="108" t="str">
        <f>IF(Lang="Français","Partie masquée",IF(Lang="English","Interation zone",""))</f>
        <v>Partie masquée</v>
      </c>
      <c r="M22" s="566">
        <f>IF(LEFT(Type_masquage,1)="B", X_int-m_int+p_int*(m_int+2*n_int)/(3*(m_int+n_int))+(m_int+n_int-m_int*n_int/(m_int+n_int))/6, 0 )</f>
        <v>1870.388062409289</v>
      </c>
      <c r="N22" s="566"/>
      <c r="O22" s="583">
        <f>IF(LEFT(Type_masquage,1)="B", 4*Q_int*POWER((E_int/D_ref),2)*(1+D_int/(2*E_int+D_int))/(1+SQRT(1+POWER(2*f_int/(m_int+n_int),2))), 0 )</f>
        <v>8.8014653349765659</v>
      </c>
      <c r="P22" s="584"/>
      <c r="Q22" s="29"/>
    </row>
    <row r="23" spans="1:20" ht="12.75" customHeight="1" x14ac:dyDescent="0.2">
      <c r="A23" s="25"/>
      <c r="B23" s="139" t="str">
        <f>IF(Lang="Français","Diamètre",IF(Lang="English","Diameter",""))</f>
        <v>Diamètre</v>
      </c>
      <c r="C23" s="556">
        <v>84</v>
      </c>
      <c r="D23" s="557"/>
      <c r="L23" s="108" t="s">
        <v>159</v>
      </c>
      <c r="M23" s="543">
        <f>IF(OR(RIGHT(Nb_diam,1)=",",D2j=0),0, X_j+l_j/3*(1+1/(1+D1j/D2j)) )</f>
        <v>1073.8297872340427</v>
      </c>
      <c r="N23" s="544"/>
      <c r="O23" s="536">
        <f>IF(OR(RIGHT(Nb_diam,1)=",",D2j=0),0,2*(POWER(D2j/D_ref,2)-POWER(D1j/D_ref,2)))</f>
        <v>0.695266272189349</v>
      </c>
      <c r="P23" s="536"/>
      <c r="Q23" s="29"/>
    </row>
    <row r="24" spans="1:20" ht="12.75" customHeight="1" thickBot="1" x14ac:dyDescent="0.25">
      <c r="A24" s="25"/>
      <c r="L24" s="108" t="s">
        <v>160</v>
      </c>
      <c r="M24" s="543">
        <f>IF( OR(RIGHT(Nb_diam,1)=",",D2r=0), 0, X_r+l_r/3*(1+1/(1+D1r/D2r)) )</f>
        <v>1967</v>
      </c>
      <c r="N24" s="544"/>
      <c r="O24" s="536">
        <f>IF( OR(RIGHT(Nb_diam,1)=",",D2r=0), 0, 2*(POWER(D2r/D_ref,2)-POWER(D1r/D_ref,2)) )</f>
        <v>0</v>
      </c>
      <c r="P24" s="536"/>
      <c r="Q24" s="29"/>
    </row>
    <row r="25" spans="1:20" ht="12.75" customHeight="1" thickTop="1" thickBot="1" x14ac:dyDescent="0.25">
      <c r="A25" s="25"/>
      <c r="B25" s="30"/>
      <c r="C25" s="178" t="str">
        <f>IF(LEFT(Type_masquage,1)="M",IF(Lang="Français","Ailerons","Fins"),IF(Lang="Français","Ailerons bas","Lower Fins"))</f>
        <v>Ailerons bas</v>
      </c>
      <c r="D25" s="179" t="str">
        <f>IF(Lang="Français","Ailerons haut",IF(Lang="English","Upper Fins",""))</f>
        <v>Ailerons haut</v>
      </c>
      <c r="E25" s="180" t="s">
        <v>154</v>
      </c>
      <c r="L25" s="38"/>
      <c r="M25" s="38"/>
      <c r="N25" s="38"/>
      <c r="Q25" s="29"/>
      <c r="R25" s="38"/>
      <c r="S25" s="388" t="str">
        <f ca="1">IF(AND(Portee_balistique&gt;200,LEFT(Propu,2)="p2"),IF(Lang="Français","Fusée trop lègère !","Rocket too light"),"")</f>
        <v/>
      </c>
    </row>
    <row r="26" spans="1:20" ht="12.75" customHeight="1" thickTop="1" x14ac:dyDescent="0.2">
      <c r="A26" s="25"/>
      <c r="B26" s="30"/>
      <c r="C26" s="588" t="s">
        <v>431</v>
      </c>
      <c r="D26" s="589"/>
      <c r="F26" s="39">
        <f ca="1">TODAY()</f>
        <v>45883</v>
      </c>
      <c r="G26" s="137" t="s">
        <v>65</v>
      </c>
      <c r="H26" s="578" t="str">
        <f>IF(Lang="Français","Résultats",IF(Lang="English","Results",""))</f>
        <v>Résultats</v>
      </c>
      <c r="I26" s="578"/>
      <c r="J26" s="137" t="s">
        <v>66</v>
      </c>
      <c r="K26" s="32"/>
      <c r="L26" s="38"/>
      <c r="M26" s="38"/>
      <c r="N26" s="38"/>
      <c r="Q26" s="29"/>
      <c r="R26" s="38"/>
      <c r="S26" s="388" t="str">
        <f ca="1">IF(AND(Vsortie_de_rampe&lt;18, OR(LEFT(Type_fusee,1)=",",LEFT(Type_fusee,4)="Mini",LEFT(Type_fusee,1)="R")),IF(Lang="Français","Fusée trop lourde ou rampe trop courte !","Rocket too heavy or launch pad too small!"),"")</f>
        <v/>
      </c>
    </row>
    <row r="27" spans="1:20" ht="12.75" customHeight="1" x14ac:dyDescent="0.2">
      <c r="A27" s="25"/>
      <c r="B27" s="526" t="str">
        <f>IF(Lang="Français"," Emplanture  'm'",IF(Lang="English"," Root edge  'm'",""))</f>
        <v xml:space="preserve"> Emplanture  'm'</v>
      </c>
      <c r="C27" s="177">
        <v>190</v>
      </c>
      <c r="D27" s="177">
        <v>170</v>
      </c>
      <c r="E27" s="146">
        <f>m_ail</f>
        <v>190</v>
      </c>
      <c r="F27" s="105" t="s">
        <v>67</v>
      </c>
      <c r="G27" s="104">
        <f>IF(RIGHT(Type_fusee,1)=".",10, IF(OR(LEFT(Type_fusee,1)="R",LEFT(Type_fusee,1)=",",LEFT(Type_fusee,4)="Mini"),10, IF(LEFT(Type_fusee,5)="Micro",10, IF(RIGHT(Type_fusee,1)=" ",1))))</f>
        <v>10</v>
      </c>
      <c r="H27" s="541">
        <f>Long_tot/D_ref</f>
        <v>19.153846153846153</v>
      </c>
      <c r="I27" s="542"/>
      <c r="J27" s="104">
        <f>IF(RIGHT(Type_fusee,1)=".",35, IF(OR(LEFT(Type_fusee,1)="R",LEFT(Type_fusee,1)=",",LEFT(Type_fusee,4)="Mini"),20, IF(LEFT(Type_fusee,5)="Micro",30, IF(RIGHT(Type_fusee,1)=" ",100))))</f>
        <v>35</v>
      </c>
      <c r="K27" s="32"/>
      <c r="L27" s="38"/>
      <c r="M27" s="38"/>
      <c r="N27" s="38"/>
      <c r="Q27" s="29"/>
      <c r="R27" s="38"/>
      <c r="S27" s="388" t="str">
        <f>IF(Finesse&lt;CritFinessemin, IF(Lang="Français","Fusée trop courte !","Rocket too short!"), "" ) &amp; IF(Finesse&gt;CritFinessemax, IF(Lang="Français","Fusée trop longue !","Rocket too long!"), "" )</f>
        <v/>
      </c>
    </row>
    <row r="28" spans="1:20" ht="12.75" customHeight="1" x14ac:dyDescent="0.2">
      <c r="A28" s="25"/>
      <c r="B28" s="526" t="str">
        <f>IF(Lang="Français"," Saumon       'n'",IF(Lang="English"," Tip edge    'n'",""))</f>
        <v xml:space="preserve"> Saumon       'n'</v>
      </c>
      <c r="C28" s="35">
        <v>120</v>
      </c>
      <c r="D28" s="35">
        <v>80</v>
      </c>
      <c r="E28" s="146">
        <f>n_ail+(m_ail-n_ail)*(1-E_int/E_ail)</f>
        <v>136.15384615384616</v>
      </c>
      <c r="F28" s="105" t="str">
        <f>IF(Lang="Français","Portance","Lift")</f>
        <v>Portance</v>
      </c>
      <c r="G28" s="104">
        <f>IF(RIGHT(Type_fusee,1)=".",15,IF(OR(LEFT(Type_fusee,1)="R",LEFT(Type_fusee,1)=",",LEFT(Type_fusee,4)="Mini"),15, IF(LEFT(Type_fusee,5)="Micro",15, IF(RIGHT(Type_fusee,1)=" ",15))))</f>
        <v>15</v>
      </c>
      <c r="H28" s="510">
        <f>Cnai+Cnc+Cno+Cnj+Cnr</f>
        <v>19.779152282887132</v>
      </c>
      <c r="I28" s="510">
        <f>Cnail+Cnc+Cno+Cnj+Cnr</f>
        <v>24.179884950375417</v>
      </c>
      <c r="J28" s="104">
        <f>IF(RIGHT(Type_fusee,1)=".",40, IF(OR(LEFT(Type_fusee,1)="R",LEFT(Type_fusee,1)=",",LEFT(Type_fusee,4)="Mini"),30, IF(LEFT(Type_fusee,5)="Micro",30, IF(RIGHT(Type_fusee,1)=" ",30))))</f>
        <v>40</v>
      </c>
      <c r="K28" s="32"/>
      <c r="L28" s="38"/>
      <c r="M28" s="38"/>
      <c r="N28" s="38"/>
      <c r="Q28" s="29"/>
      <c r="R28" s="38"/>
      <c r="S28" s="388" t="str">
        <f>IF(Cn&lt;CritCnmin, IF(Lang="Français","Ailerons trop petits !","Fins too small!"), "" ) &amp; IF(Cn&gt;CritCnmax, IF(Lang="Français","Ailerons trop grands !","Fins too big!"), "" )</f>
        <v/>
      </c>
    </row>
    <row r="29" spans="1:20" ht="12.75" customHeight="1" x14ac:dyDescent="0.2">
      <c r="A29" s="25"/>
      <c r="B29" s="526" t="str">
        <f>IF(Lang="Français"," Flèche          'p'"," Offset         'p'")</f>
        <v xml:space="preserve"> Flèche          'p'</v>
      </c>
      <c r="C29" s="35">
        <v>130</v>
      </c>
      <c r="D29" s="35">
        <v>140</v>
      </c>
      <c r="E29" s="146">
        <f>p_ail*E_int/E_ail</f>
        <v>100</v>
      </c>
      <c r="F29" s="517" t="str">
        <f>IF(Lang="Français","MargeStat.","StatMargin")</f>
        <v>MargeStat.</v>
      </c>
      <c r="G29" s="512">
        <f>IF(RIGHT(Type_fusee,1)=".",2, IF(OR(LEFT(Type_fusee,1)="R",LEFT(Type_fusee,1)=",",LEFT(Type_fusee,4)="Mini"),1.5, IF(LEFT(Type_fusee,5)="Micro",1, IF(RIGHT(Type_fusee,1)=" ",1))))</f>
        <v>2</v>
      </c>
      <c r="H29" s="97">
        <f ca="1">(XCp-XcgPlein)/D_ref</f>
        <v>1.6722271097381343</v>
      </c>
      <c r="I29" s="98">
        <f ca="1">(XCp0-XcgVide)/D_ref</f>
        <v>3.4412190495062154</v>
      </c>
      <c r="J29" s="512">
        <f>IF(RIGHT(Type_fusee,1)=".",6, IF(OR(LEFT(Type_fusee,1)="R",LEFT(Type_fusee,1)=",",LEFT(Type_fusee,4)="Mini"),6, IF(LEFT(Type_fusee,5)="Micro",3, IF(RIGHT(Type_fusee,1)=" ",3))))</f>
        <v>6</v>
      </c>
      <c r="K29" s="32"/>
      <c r="Q29" s="29"/>
      <c r="R29" s="38"/>
      <c r="S29" s="388" t="str">
        <f ca="1">IF(MS_min&lt;CritMsmin, IF(Lang="Français","Abaisser les ailerons ou rehausser le CdM !","Lower the fins or move up the center of mass!"), "" ) &amp; IF(MS_max&gt;CritMsmax, IF(Lang="Français","Rehausser les ailerons ou abaisser le CdM !","Move up the fins or lower the center of mass!"), "" )</f>
        <v>Abaisser les ailerons ou rehausser le CdM !</v>
      </c>
    </row>
    <row r="30" spans="1:20" ht="12.75" customHeight="1" x14ac:dyDescent="0.2">
      <c r="A30" s="25"/>
      <c r="B30" s="526" t="str">
        <f>IF(Lang="Français"," Envergure     'E'",IF(Lang="English"," Span          'E'",""))</f>
        <v xml:space="preserve"> Envergure     'E'</v>
      </c>
      <c r="C30" s="35">
        <v>130</v>
      </c>
      <c r="D30" s="35">
        <v>110</v>
      </c>
      <c r="E30" s="146">
        <f>IF(D_can/2+E_can&lt;=D_ail/2,0, IF(D_can/2+E_can&gt;=D_ail/2+E_ail,E_ail,  D_can/2+E_can - D_ail/2  ) )</f>
        <v>100</v>
      </c>
      <c r="F30" s="518" t="str">
        <f>IF(Lang="Français","Couple","Torque")</f>
        <v>Couple</v>
      </c>
      <c r="G30" s="513">
        <f>IF(RIGHT(Type_fusee,1)=".",40, IF(OR(LEFT(Type_fusee,1)="R",LEFT(Type_fusee,1)=",",LEFT(Type_fusee,4)="Mini"),30, IF(LEFT(Type_fusee,5)="Micro",15, IF(RIGHT(Type_fusee,1)=" ",15))))</f>
        <v>40</v>
      </c>
      <c r="H30" s="99">
        <f ca="1">MS_min*Cn</f>
        <v>33.075234655082767</v>
      </c>
      <c r="I30" s="96">
        <f ca="1">MS_max*Cn0</f>
        <v>83.208280706100538</v>
      </c>
      <c r="J30" s="513">
        <f>IF(RIGHT(Type_fusee,1)=".",100, IF(OR(LEFT(Type_fusee,1)="R",LEFT(Type_fusee,1)=",",LEFT(Type_fusee,4)="Mini"),100, IF(LEFT(Type_fusee,5)="Micro",100, IF(RIGHT(Type_fusee,1)=" ",90))))</f>
        <v>100</v>
      </c>
      <c r="K30" s="32"/>
      <c r="Q30" s="29"/>
      <c r="R30" s="38"/>
      <c r="S30" s="388" t="str">
        <f ca="1">IF(MS_Cn_min&lt;CritMsCnmin, IF(Lang="Français","Ailerons trop petits ou trop haut /CdM !","Fins too small or too high /CoM!"), "" ) &amp; IF(MS_Cn_max&gt;CritMsCnmax, IF(Lang="Français","Ailerons trop grands ou trop bas  /CdM !","Fins too big or too low / CoM!"), "" )</f>
        <v>Ailerons trop petits ou trop haut /CdM !</v>
      </c>
    </row>
    <row r="31" spans="1:20" ht="12.75" customHeight="1" x14ac:dyDescent="0.2">
      <c r="A31" s="25"/>
      <c r="B31" s="527" t="str">
        <f>IF(Lang="Français"," Epaisseur     'ep'",IF(Lang="English"," Thickness  'ep'",""))</f>
        <v xml:space="preserve"> Epaisseur     'ep'</v>
      </c>
      <c r="C31" s="35">
        <v>4</v>
      </c>
      <c r="D31" s="35">
        <v>4</v>
      </c>
      <c r="E31" s="146">
        <f>ep_ail</f>
        <v>4</v>
      </c>
      <c r="F31" s="106" t="s">
        <v>58</v>
      </c>
      <c r="G31" s="103"/>
      <c r="H31" s="511">
        <f>(Cnai*XCpai+Cnc*XCpc+Cnj*XCpj+Cnr*XCpr+Cno*XCpo)/(Cnai+Cnc+Cnr+Cnj+Cno)</f>
        <v>1323.1177262829949</v>
      </c>
      <c r="I31" s="511">
        <f>(Cnail*XCpa+Cnc*XCpc+Cnj*XCpj+Cnr*XCpr+Cno*XCpo)/(Cnail+Cnc+Cnr+Cnj+Cno)</f>
        <v>1422.7207827524956</v>
      </c>
      <c r="J31" s="102"/>
      <c r="K31" s="32"/>
      <c r="Q31" s="29"/>
      <c r="R31" s="38"/>
      <c r="S31" s="388"/>
    </row>
    <row r="32" spans="1:20" ht="12.75" customHeight="1" x14ac:dyDescent="0.2">
      <c r="A32" s="25"/>
      <c r="B32" s="526" t="str">
        <f>IF(Lang="Français"," Nombre            ",IF(Lang="English"," Number of fins",""))</f>
        <v xml:space="preserve"> Nombre            </v>
      </c>
      <c r="C32" s="36">
        <v>4</v>
      </c>
      <c r="D32" s="36">
        <v>4</v>
      </c>
      <c r="E32" s="146">
        <f>IF(Q_ail=Q_can,Q_ail,FALSE)</f>
        <v>4</v>
      </c>
      <c r="F32" s="106" t="s">
        <v>69</v>
      </c>
      <c r="G32" s="103"/>
      <c r="H32" s="100">
        <f ca="1">(XCp-XcgPlein)/Long_tot*100</f>
        <v>8.7305029825685718</v>
      </c>
      <c r="I32" s="101">
        <f ca="1">(XCp-XcgVide)/Long_tot*100</f>
        <v>12.966050435700089</v>
      </c>
      <c r="J32" s="102"/>
      <c r="K32" s="32"/>
      <c r="Q32" s="29"/>
      <c r="R32" s="38"/>
    </row>
    <row r="33" spans="1:23" ht="12.75" customHeight="1" x14ac:dyDescent="0.2">
      <c r="A33" s="25"/>
      <c r="B33" s="526" t="str">
        <f>IF(Lang="Français"," Position du bas",IF(Lang="English"," Basement",""))</f>
        <v xml:space="preserve"> Position du bas</v>
      </c>
      <c r="C33" s="35">
        <f>Long_tot-20</f>
        <v>1972</v>
      </c>
      <c r="D33" s="35">
        <v>1035</v>
      </c>
      <c r="E33" s="146">
        <f>X_ail</f>
        <v>1972</v>
      </c>
      <c r="G33" s="24"/>
      <c r="H33" s="537" t="str">
        <f ca="1">IF(AND(CritCnmin&lt;Cn,Cn0&lt;CritCnmax,CritMsmin&lt;MS_min,MS_max&lt;CritMsmax,CritMsCnmin&lt;MS_Cn_min,MS_Cn_max&lt;CritMsCnmax),"STABLE",IF(OR(Cn&lt;CritCnmin,MS_min&lt;CritMsmin,MS_Cn_min&lt;CritMsCnmin),"INSTABLE",IF(Lang="Français","SURSTABLE","OVERSTABLE")))</f>
        <v>INSTABLE</v>
      </c>
      <c r="I33" s="538"/>
      <c r="J33" s="31"/>
      <c r="K33" s="32"/>
      <c r="Q33" s="29"/>
      <c r="R33" s="38"/>
    </row>
    <row r="34" spans="1:23" ht="12.75" customHeight="1" x14ac:dyDescent="0.2">
      <c r="A34" s="25"/>
      <c r="B34" s="526" t="str">
        <f>IF(Lang="Français"," Diamètre         ",IF(Lang="English"," Diameter at Fins",""))</f>
        <v xml:space="preserve"> Diamètre         </v>
      </c>
      <c r="C34" s="35">
        <v>104</v>
      </c>
      <c r="D34" s="35">
        <v>84</v>
      </c>
      <c r="E34" s="146">
        <f>D_ail</f>
        <v>104</v>
      </c>
      <c r="G34" s="24"/>
      <c r="H34" s="539"/>
      <c r="I34" s="540"/>
      <c r="K34" s="32"/>
      <c r="Q34" s="29"/>
      <c r="R34" s="38"/>
    </row>
    <row r="35" spans="1:23" ht="12.75" customHeight="1" x14ac:dyDescent="0.2">
      <c r="A35" s="25"/>
      <c r="B35" s="526" t="str">
        <f>IF(Lang="Français"," Ligne mi-corde f",IF(Lang="English"," Mid-chord line f",""))</f>
        <v xml:space="preserve"> Ligne mi-corde f</v>
      </c>
      <c r="C35" s="145">
        <f>SQRT(POWER(p_ail+n_ail/2-m_ail/2,2)+POWER(E_ail,2))</f>
        <v>161.01242188104618</v>
      </c>
      <c r="D35" s="145">
        <f>SQRT(POWER(p_can+n_can/2-m_can/2,2)+POWER(E_can,2))</f>
        <v>145.34441853748632</v>
      </c>
      <c r="E35" s="146">
        <f>SQRT(POWER(p_int+n_int/2-m_int/2,2)+POWER(E_int,2))</f>
        <v>123.85570913926631</v>
      </c>
      <c r="K35" s="32"/>
      <c r="Q35" s="29"/>
      <c r="R35" s="38"/>
      <c r="W35" s="24" t="str">
        <f>RIGHT(Type_fusee,1="R")</f>
        <v/>
      </c>
    </row>
    <row r="36" spans="1:23" ht="12.75" customHeight="1" thickBot="1" x14ac:dyDescent="0.25">
      <c r="A36" s="40"/>
      <c r="B36" s="182" t="str">
        <f>IF(Lang="Français","Commentaire libre :",IF(Lang="English","Free comment:",""))</f>
        <v>Commentaire libre :</v>
      </c>
      <c r="C36" s="41"/>
      <c r="D36" s="42"/>
      <c r="E36" s="91"/>
      <c r="F36" s="67"/>
      <c r="G36" s="67"/>
      <c r="H36" s="67"/>
      <c r="I36" s="67"/>
      <c r="J36" s="42"/>
      <c r="K36" s="42"/>
      <c r="L36" s="389" t="s">
        <v>275</v>
      </c>
      <c r="M36" s="392" t="str">
        <f>IF(ROUND(SUM(Propu!5:1218),0)=306466,"propu OK","propu NOK")</f>
        <v>propu OK</v>
      </c>
      <c r="N36" s="391" t="str">
        <f>IF(Lang="Français","fichier initial","Initial file")</f>
        <v>fichier initial</v>
      </c>
      <c r="O36" s="392"/>
      <c r="P36" s="390"/>
      <c r="Q36" s="291" t="s">
        <v>552</v>
      </c>
      <c r="R36" s="38"/>
    </row>
    <row r="37" spans="1:23" ht="12.75" customHeight="1" x14ac:dyDescent="0.2">
      <c r="R37" s="43"/>
    </row>
    <row r="38" spans="1:23" x14ac:dyDescent="0.2">
      <c r="L38" s="226" t="str">
        <f>IF(Lang="Français","Maintenant que votre fusée est stable, vérifiez sa trajectoire via la feuille","Now your rocket is stable, check its trajectory on sheet")</f>
        <v>Maintenant que votre fusée est stable, vérifiez sa trajectoire via la feuille</v>
      </c>
      <c r="M38" s="483" t="s">
        <v>185</v>
      </c>
    </row>
    <row r="39" spans="1:23" x14ac:dyDescent="0.2">
      <c r="H39" s="87"/>
      <c r="O39" s="26"/>
      <c r="P39" s="26"/>
    </row>
    <row r="40" spans="1:23" x14ac:dyDescent="0.2">
      <c r="F40" s="24"/>
      <c r="H40" s="43"/>
      <c r="I40" s="44"/>
      <c r="J40" s="43"/>
      <c r="N40" s="43"/>
      <c r="Q40" s="43"/>
      <c r="S40" s="508"/>
    </row>
    <row r="41" spans="1:23" x14ac:dyDescent="0.2">
      <c r="F41" s="24"/>
      <c r="G41" s="505"/>
      <c r="H41" s="506"/>
      <c r="I41" s="44"/>
      <c r="J41" s="43"/>
      <c r="N41" s="43"/>
      <c r="Q41" s="43"/>
      <c r="R41" s="43"/>
    </row>
    <row r="42" spans="1:23" x14ac:dyDescent="0.2">
      <c r="F42" s="24"/>
      <c r="H42" s="43"/>
      <c r="I42" s="44"/>
      <c r="J42" s="43"/>
      <c r="N42" s="43"/>
      <c r="Q42" s="43"/>
      <c r="R42" s="43"/>
    </row>
    <row r="43" spans="1:23" x14ac:dyDescent="0.2">
      <c r="F43" s="24"/>
      <c r="H43" s="43"/>
      <c r="I43" s="44"/>
      <c r="J43" s="43"/>
      <c r="N43" s="43"/>
      <c r="Q43" s="43"/>
      <c r="R43" s="43"/>
    </row>
    <row r="44" spans="1:23" x14ac:dyDescent="0.2">
      <c r="F44" s="24"/>
      <c r="H44" s="43"/>
      <c r="I44" s="44"/>
      <c r="J44" s="43"/>
      <c r="N44" s="43"/>
      <c r="Q44" s="43"/>
      <c r="R44" s="43"/>
    </row>
    <row r="45" spans="1:23" x14ac:dyDescent="0.2">
      <c r="F45" s="24"/>
      <c r="H45" s="43"/>
      <c r="I45" s="44"/>
      <c r="J45" s="43"/>
      <c r="N45" s="43"/>
      <c r="Q45" s="43"/>
      <c r="R45" s="43"/>
    </row>
    <row r="46" spans="1:23" x14ac:dyDescent="0.2">
      <c r="F46" s="24"/>
      <c r="H46" s="43"/>
      <c r="I46" s="44"/>
      <c r="J46" s="43"/>
      <c r="L46" s="43"/>
      <c r="M46" s="43"/>
      <c r="N46" s="43"/>
      <c r="Q46" s="43"/>
      <c r="R46" s="43"/>
    </row>
    <row r="47" spans="1:23" x14ac:dyDescent="0.2">
      <c r="F47" s="24"/>
      <c r="H47" s="43"/>
      <c r="I47" s="44"/>
      <c r="J47" s="43"/>
      <c r="L47" s="43"/>
      <c r="M47" s="43"/>
      <c r="N47" s="43"/>
      <c r="Q47" s="43"/>
      <c r="R47" s="43"/>
    </row>
    <row r="48" spans="1:23" x14ac:dyDescent="0.2">
      <c r="F48" s="24"/>
      <c r="H48" s="43"/>
      <c r="I48" s="44"/>
      <c r="J48" s="43"/>
      <c r="L48" s="43"/>
      <c r="M48" s="43"/>
      <c r="N48" s="43"/>
      <c r="Q48" s="43"/>
      <c r="R48" s="43"/>
    </row>
    <row r="49" spans="2:18" x14ac:dyDescent="0.2">
      <c r="F49" s="24"/>
      <c r="H49" s="43"/>
      <c r="I49" s="44"/>
      <c r="J49" s="43"/>
      <c r="L49" s="43"/>
      <c r="M49" s="43"/>
      <c r="N49" s="43"/>
      <c r="Q49" s="43"/>
      <c r="R49" s="43"/>
    </row>
    <row r="50" spans="2:18" x14ac:dyDescent="0.2">
      <c r="F50" s="24"/>
      <c r="H50" s="43"/>
      <c r="I50" s="44"/>
      <c r="J50" s="43"/>
      <c r="L50" s="43"/>
      <c r="M50" s="43"/>
      <c r="N50" s="43"/>
      <c r="Q50" s="43"/>
      <c r="R50" s="43"/>
    </row>
    <row r="51" spans="2:18" x14ac:dyDescent="0.2">
      <c r="F51" s="24"/>
      <c r="H51" s="43"/>
      <c r="I51" s="44"/>
      <c r="J51" s="43"/>
      <c r="L51" s="43"/>
      <c r="M51" s="43"/>
      <c r="N51" s="43"/>
      <c r="Q51" s="43"/>
      <c r="R51" s="43"/>
    </row>
    <row r="52" spans="2:18" x14ac:dyDescent="0.2">
      <c r="H52" s="43"/>
      <c r="I52" s="44"/>
      <c r="J52" s="43"/>
      <c r="L52" s="43"/>
      <c r="M52" s="43"/>
      <c r="N52" s="43"/>
      <c r="Q52" s="43"/>
      <c r="R52" s="43"/>
    </row>
    <row r="53" spans="2:18" x14ac:dyDescent="0.2">
      <c r="H53" s="43"/>
      <c r="I53" s="44"/>
      <c r="J53" s="43"/>
      <c r="L53" s="43"/>
      <c r="M53" s="43"/>
      <c r="N53" s="43"/>
      <c r="Q53" s="43"/>
      <c r="R53" s="43"/>
    </row>
    <row r="54" spans="2:18" x14ac:dyDescent="0.2">
      <c r="H54" s="43"/>
      <c r="I54" s="44"/>
      <c r="J54" s="43"/>
      <c r="L54" s="43"/>
      <c r="M54" s="43"/>
      <c r="N54" s="43"/>
      <c r="Q54" s="43"/>
      <c r="R54" s="43"/>
    </row>
    <row r="55" spans="2:18" x14ac:dyDescent="0.2">
      <c r="H55" s="43"/>
      <c r="I55" s="44"/>
      <c r="J55" s="43"/>
      <c r="L55" s="43"/>
      <c r="M55" s="43"/>
      <c r="N55" s="43"/>
      <c r="Q55" s="43"/>
      <c r="R55" s="43"/>
    </row>
    <row r="56" spans="2:18" x14ac:dyDescent="0.2">
      <c r="C56" s="24"/>
      <c r="H56" s="43"/>
      <c r="I56" s="44"/>
      <c r="J56" s="43"/>
      <c r="L56" s="43"/>
      <c r="M56" s="43"/>
      <c r="N56" s="43"/>
      <c r="Q56" s="43"/>
      <c r="R56" s="43"/>
    </row>
    <row r="57" spans="2:18" x14ac:dyDescent="0.2">
      <c r="H57" s="43"/>
      <c r="I57" s="44"/>
      <c r="J57" s="43"/>
      <c r="L57" s="43"/>
      <c r="M57" s="43"/>
      <c r="N57" s="43"/>
      <c r="Q57" s="43"/>
      <c r="R57" s="43"/>
    </row>
    <row r="58" spans="2:18" x14ac:dyDescent="0.2">
      <c r="B58" s="31"/>
      <c r="H58" s="43"/>
      <c r="I58" s="44"/>
      <c r="J58" s="43"/>
      <c r="L58" s="43"/>
      <c r="M58" s="43"/>
      <c r="N58" s="43"/>
      <c r="Q58" s="43"/>
      <c r="R58" s="43"/>
    </row>
    <row r="59" spans="2:18" x14ac:dyDescent="0.2">
      <c r="B59" s="31"/>
      <c r="H59" s="43"/>
      <c r="I59" s="44"/>
      <c r="J59" s="43"/>
      <c r="L59" s="43"/>
      <c r="M59" s="43"/>
      <c r="N59" s="43"/>
      <c r="Q59" s="43"/>
      <c r="R59" s="43"/>
    </row>
    <row r="60" spans="2:18" x14ac:dyDescent="0.2">
      <c r="B60" s="31"/>
      <c r="H60" s="43"/>
      <c r="I60" s="44"/>
      <c r="J60" s="43"/>
      <c r="L60" s="43"/>
      <c r="M60" s="43"/>
      <c r="N60" s="43"/>
      <c r="Q60" s="43"/>
      <c r="R60" s="43"/>
    </row>
    <row r="61" spans="2:18" x14ac:dyDescent="0.2">
      <c r="B61" s="31"/>
      <c r="H61" s="43"/>
      <c r="I61" s="44"/>
      <c r="J61" s="43"/>
      <c r="L61" s="43"/>
      <c r="M61" s="43"/>
      <c r="N61" s="43"/>
      <c r="Q61" s="43"/>
      <c r="R61" s="43"/>
    </row>
    <row r="62" spans="2:18" x14ac:dyDescent="0.2">
      <c r="B62" s="31"/>
      <c r="H62" s="43"/>
      <c r="I62" s="44"/>
      <c r="J62" s="43"/>
      <c r="L62" s="43"/>
      <c r="M62" s="43"/>
      <c r="N62" s="43"/>
      <c r="Q62" s="43"/>
      <c r="R62" s="43"/>
    </row>
    <row r="63" spans="2:18" x14ac:dyDescent="0.2">
      <c r="B63" s="31"/>
      <c r="H63" s="43"/>
      <c r="I63" s="44"/>
      <c r="J63" s="43"/>
      <c r="L63" s="43"/>
      <c r="M63" s="43"/>
      <c r="N63" s="43"/>
      <c r="Q63" s="43"/>
      <c r="R63" s="43"/>
    </row>
    <row r="64" spans="2:18" x14ac:dyDescent="0.2">
      <c r="B64" s="31"/>
      <c r="H64" s="43"/>
      <c r="I64" s="44"/>
      <c r="J64" s="43"/>
      <c r="L64" s="43"/>
      <c r="M64" s="43"/>
      <c r="N64" s="43"/>
      <c r="Q64" s="43"/>
      <c r="R64" s="43"/>
    </row>
    <row r="65" spans="2:18" x14ac:dyDescent="0.2">
      <c r="B65" s="31"/>
      <c r="H65" s="43"/>
      <c r="I65" s="44"/>
      <c r="J65" s="43"/>
      <c r="L65" s="43"/>
      <c r="M65" s="43"/>
      <c r="N65" s="43"/>
      <c r="Q65" s="43"/>
      <c r="R65" s="43"/>
    </row>
    <row r="66" spans="2:18" x14ac:dyDescent="0.2">
      <c r="B66" s="31"/>
      <c r="H66" s="43"/>
      <c r="I66" s="44"/>
      <c r="J66" s="43"/>
      <c r="L66" s="43"/>
      <c r="M66" s="43"/>
      <c r="N66" s="43"/>
      <c r="Q66" s="43"/>
      <c r="R66" s="43"/>
    </row>
    <row r="67" spans="2:18" x14ac:dyDescent="0.2">
      <c r="C67" s="24"/>
      <c r="H67" s="43"/>
      <c r="I67" s="44"/>
      <c r="J67" s="43"/>
      <c r="L67" s="43"/>
      <c r="M67" s="43"/>
      <c r="N67" s="43"/>
      <c r="Q67" s="43"/>
      <c r="R67" s="43"/>
    </row>
    <row r="68" spans="2:18" x14ac:dyDescent="0.2">
      <c r="C68" s="24"/>
      <c r="H68" s="43"/>
      <c r="I68" s="44"/>
      <c r="J68" s="43"/>
      <c r="L68" s="43"/>
      <c r="M68" s="43"/>
      <c r="N68" s="43"/>
      <c r="Q68" s="43"/>
      <c r="R68" s="43"/>
    </row>
    <row r="69" spans="2:18" x14ac:dyDescent="0.2">
      <c r="C69" s="24"/>
      <c r="H69" s="43"/>
      <c r="I69" s="44"/>
      <c r="J69" s="43"/>
      <c r="L69" s="43"/>
      <c r="M69" s="43"/>
      <c r="N69" s="43"/>
      <c r="Q69" s="43"/>
      <c r="R69" s="43"/>
    </row>
    <row r="70" spans="2:18" x14ac:dyDescent="0.2">
      <c r="C70" s="24"/>
      <c r="H70" s="43"/>
      <c r="I70" s="44"/>
      <c r="J70" s="43"/>
      <c r="L70" s="43"/>
      <c r="M70" s="43"/>
      <c r="N70" s="43"/>
      <c r="Q70" s="43"/>
      <c r="R70" s="43"/>
    </row>
    <row r="71" spans="2:18" x14ac:dyDescent="0.2">
      <c r="C71" s="24"/>
      <c r="H71" s="43"/>
      <c r="I71" s="44"/>
      <c r="J71" s="43"/>
      <c r="L71" s="43"/>
      <c r="M71" s="43"/>
      <c r="N71" s="43"/>
      <c r="Q71" s="43"/>
      <c r="R71" s="43"/>
    </row>
    <row r="72" spans="2:18" x14ac:dyDescent="0.2">
      <c r="C72" s="24"/>
      <c r="H72" s="43"/>
      <c r="I72" s="44"/>
      <c r="J72" s="43"/>
      <c r="L72" s="43"/>
      <c r="M72" s="43"/>
      <c r="N72" s="43"/>
      <c r="Q72" s="43"/>
      <c r="R72" s="43"/>
    </row>
    <row r="73" spans="2:18" x14ac:dyDescent="0.2">
      <c r="C73" s="24"/>
      <c r="H73" s="43"/>
      <c r="I73" s="44"/>
      <c r="J73" s="43"/>
      <c r="L73" s="43"/>
      <c r="M73" s="43"/>
      <c r="N73" s="43"/>
      <c r="Q73" s="43"/>
      <c r="R73" s="43"/>
    </row>
    <row r="74" spans="2:18" x14ac:dyDescent="0.2">
      <c r="C74" s="24"/>
      <c r="H74" s="43"/>
      <c r="I74" s="44"/>
      <c r="J74" s="43"/>
      <c r="L74" s="43"/>
      <c r="M74" s="43"/>
      <c r="N74" s="43"/>
      <c r="Q74" s="43"/>
      <c r="R74" s="43"/>
    </row>
    <row r="75" spans="2:18" x14ac:dyDescent="0.2">
      <c r="C75" s="24"/>
      <c r="H75" s="43"/>
      <c r="I75" s="44"/>
      <c r="J75" s="43"/>
      <c r="L75" s="43"/>
      <c r="M75" s="43"/>
      <c r="N75" s="43"/>
      <c r="Q75" s="43"/>
      <c r="R75" s="43"/>
    </row>
    <row r="76" spans="2:18" x14ac:dyDescent="0.2">
      <c r="C76" s="24"/>
      <c r="H76" s="43"/>
      <c r="I76" s="44"/>
      <c r="J76" s="43"/>
      <c r="L76" s="43"/>
      <c r="M76" s="43"/>
      <c r="N76" s="43"/>
      <c r="Q76" s="43"/>
      <c r="R76" s="43"/>
    </row>
    <row r="77" spans="2:18" x14ac:dyDescent="0.2">
      <c r="C77" s="24"/>
      <c r="H77" s="43"/>
      <c r="I77" s="44"/>
      <c r="J77" s="43"/>
      <c r="L77" s="43"/>
      <c r="M77" s="43"/>
      <c r="N77" s="43"/>
      <c r="Q77" s="43"/>
      <c r="R77" s="43"/>
    </row>
    <row r="78" spans="2:18" x14ac:dyDescent="0.2">
      <c r="C78" s="24"/>
      <c r="H78" s="43"/>
      <c r="I78" s="44"/>
      <c r="J78" s="43"/>
      <c r="L78" s="43"/>
      <c r="M78" s="43"/>
      <c r="N78" s="43"/>
      <c r="Q78" s="43"/>
      <c r="R78" s="43"/>
    </row>
    <row r="79" spans="2:18" x14ac:dyDescent="0.2">
      <c r="C79" s="24"/>
      <c r="H79" s="43"/>
      <c r="I79" s="44"/>
      <c r="J79" s="43"/>
      <c r="L79" s="43"/>
      <c r="M79" s="43"/>
      <c r="N79" s="43"/>
      <c r="Q79" s="43"/>
      <c r="R79" s="43"/>
    </row>
    <row r="80" spans="2:18" x14ac:dyDescent="0.2">
      <c r="C80" s="24"/>
      <c r="H80" s="43"/>
      <c r="I80" s="44"/>
      <c r="J80" s="43"/>
      <c r="L80" s="43"/>
      <c r="M80" s="43"/>
      <c r="N80" s="43"/>
      <c r="Q80" s="43"/>
      <c r="R80" s="43"/>
    </row>
    <row r="81" spans="2:18" x14ac:dyDescent="0.2">
      <c r="C81" s="24"/>
      <c r="H81" s="43"/>
      <c r="I81" s="44"/>
      <c r="J81" s="43"/>
      <c r="L81" s="43"/>
      <c r="M81" s="43"/>
      <c r="N81" s="43"/>
      <c r="Q81" s="43"/>
      <c r="R81" s="43"/>
    </row>
    <row r="82" spans="2:18" x14ac:dyDescent="0.2">
      <c r="C82" s="24"/>
      <c r="H82" s="43"/>
      <c r="I82" s="44"/>
      <c r="J82" s="43"/>
      <c r="L82" s="43"/>
      <c r="M82" s="43"/>
      <c r="N82" s="43"/>
      <c r="Q82" s="43"/>
      <c r="R82" s="43"/>
    </row>
    <row r="83" spans="2:18" x14ac:dyDescent="0.2">
      <c r="C83" s="24"/>
      <c r="H83" s="43"/>
      <c r="I83" s="44"/>
      <c r="J83" s="43"/>
      <c r="L83" s="43"/>
      <c r="M83" s="43"/>
      <c r="N83" s="43"/>
      <c r="Q83" s="43"/>
      <c r="R83" s="43"/>
    </row>
    <row r="84" spans="2:18" x14ac:dyDescent="0.2">
      <c r="C84" s="24"/>
      <c r="H84" s="43"/>
      <c r="I84" s="44"/>
      <c r="J84" s="43"/>
      <c r="L84" s="43"/>
      <c r="M84" s="43"/>
      <c r="N84" s="43"/>
      <c r="Q84" s="43"/>
      <c r="R84" s="43"/>
    </row>
    <row r="85" spans="2:18" x14ac:dyDescent="0.2">
      <c r="C85" s="24"/>
      <c r="H85" s="43"/>
      <c r="I85" s="44"/>
      <c r="J85" s="43"/>
      <c r="L85" s="43"/>
      <c r="M85" s="43"/>
      <c r="N85" s="43"/>
      <c r="Q85" s="43"/>
      <c r="R85" s="43"/>
    </row>
    <row r="86" spans="2:18" x14ac:dyDescent="0.2">
      <c r="C86" s="24"/>
      <c r="H86" s="43"/>
      <c r="I86" s="44"/>
      <c r="J86" s="43"/>
      <c r="L86" s="43"/>
      <c r="M86" s="43"/>
      <c r="N86" s="43"/>
      <c r="Q86" s="43"/>
      <c r="R86" s="43"/>
    </row>
    <row r="87" spans="2:18" x14ac:dyDescent="0.2">
      <c r="C87" s="24"/>
      <c r="H87" s="43"/>
      <c r="I87" s="44"/>
      <c r="J87" s="43"/>
      <c r="L87" s="43"/>
      <c r="M87" s="43"/>
      <c r="N87" s="43"/>
      <c r="Q87" s="43"/>
      <c r="R87" s="43"/>
    </row>
    <row r="88" spans="2:18" x14ac:dyDescent="0.2">
      <c r="C88" s="24"/>
      <c r="H88" s="43"/>
      <c r="I88" s="44"/>
      <c r="J88" s="43"/>
      <c r="L88" s="43"/>
      <c r="M88" s="43"/>
      <c r="N88" s="43"/>
      <c r="Q88" s="43"/>
      <c r="R88" s="43"/>
    </row>
    <row r="89" spans="2:18" x14ac:dyDescent="0.2">
      <c r="C89" s="24"/>
      <c r="H89" s="43"/>
      <c r="I89" s="44"/>
      <c r="J89" s="43"/>
      <c r="L89" s="43"/>
      <c r="M89" s="43"/>
      <c r="N89" s="43"/>
      <c r="Q89" s="43"/>
      <c r="R89" s="43"/>
    </row>
    <row r="90" spans="2:18" x14ac:dyDescent="0.2">
      <c r="C90" s="24"/>
      <c r="H90" s="43"/>
      <c r="I90" s="44"/>
      <c r="J90" s="43"/>
      <c r="L90" s="43"/>
      <c r="M90" s="43"/>
      <c r="N90" s="43"/>
      <c r="Q90" s="43"/>
      <c r="R90" s="43"/>
    </row>
    <row r="91" spans="2:18" x14ac:dyDescent="0.2">
      <c r="B91" s="24" t="str">
        <f>IF(Lang="Français","Textes pour les listes déroulantes et graphiques :",IF(Lang="English","Texts for drop-down lists &amp; graphics :",""))</f>
        <v>Textes pour les listes déroulantes et graphiques :</v>
      </c>
      <c r="H91" s="43"/>
      <c r="I91" s="44"/>
      <c r="J91" s="43"/>
      <c r="L91" s="43"/>
      <c r="M91" s="43"/>
      <c r="N91" s="43"/>
      <c r="Q91" s="43"/>
      <c r="R91" s="43"/>
    </row>
    <row r="92" spans="2:18" x14ac:dyDescent="0.2">
      <c r="H92" s="43"/>
      <c r="I92" s="44"/>
      <c r="J92" s="43"/>
      <c r="L92" s="43"/>
      <c r="M92" s="43"/>
      <c r="N92" s="43"/>
      <c r="Q92" s="43"/>
      <c r="R92" s="43"/>
    </row>
    <row r="93" spans="2:18" x14ac:dyDescent="0.2">
      <c r="B93" s="26" t="s">
        <v>1</v>
      </c>
      <c r="H93" s="43"/>
      <c r="I93" s="44"/>
      <c r="J93" s="43"/>
      <c r="L93" s="43"/>
      <c r="M93" s="43"/>
      <c r="N93" s="43"/>
      <c r="Q93" s="43"/>
      <c r="R93" s="43"/>
    </row>
    <row r="94" spans="2:18" x14ac:dyDescent="0.2">
      <c r="B94" s="26" t="s">
        <v>70</v>
      </c>
      <c r="H94" s="43"/>
      <c r="I94" s="44"/>
      <c r="J94" s="43"/>
      <c r="L94" s="43"/>
      <c r="M94" s="43"/>
      <c r="N94" s="43"/>
      <c r="Q94" s="43"/>
      <c r="R94" s="43"/>
    </row>
    <row r="95" spans="2:18" x14ac:dyDescent="0.2">
      <c r="B95" s="26"/>
      <c r="H95" s="43"/>
      <c r="I95" s="44"/>
      <c r="J95" s="43"/>
      <c r="L95" s="43"/>
      <c r="M95" s="43"/>
      <c r="N95" s="43"/>
      <c r="Q95" s="43"/>
      <c r="R95" s="43"/>
    </row>
    <row r="96" spans="2:18" x14ac:dyDescent="0.2">
      <c r="B96" s="26" t="str">
        <f>IF(Lang="Français","Fusée à eau  ",IF(Lang="English","Water-rocket  ",""))</f>
        <v xml:space="preserve">Fusée à eau  </v>
      </c>
      <c r="H96" s="43"/>
      <c r="I96" s="44"/>
      <c r="J96" s="43"/>
      <c r="L96" s="43"/>
      <c r="M96" s="43"/>
      <c r="N96" s="43"/>
      <c r="Q96" s="43"/>
      <c r="R96" s="43"/>
    </row>
    <row r="97" spans="2:18" x14ac:dyDescent="0.2">
      <c r="B97" s="26" t="str">
        <f>IF(Lang="Français","Microfusée",IF(Lang="English","Micro-rocket",""))</f>
        <v>Microfusée</v>
      </c>
      <c r="H97" s="43"/>
      <c r="I97" s="44"/>
      <c r="J97" s="43"/>
      <c r="L97" s="43"/>
      <c r="M97" s="43"/>
      <c r="N97" s="43"/>
      <c r="Q97" s="43"/>
      <c r="R97" s="43"/>
    </row>
    <row r="98" spans="2:18" x14ac:dyDescent="0.2">
      <c r="B98" s="26" t="str">
        <f>IF(Lang="Français","Minifusée",IF(Lang="English","Mini-rocket",""))</f>
        <v>Minifusée</v>
      </c>
      <c r="H98" s="43"/>
      <c r="I98" s="44"/>
      <c r="J98" s="43"/>
      <c r="L98" s="43"/>
      <c r="M98" s="43"/>
      <c r="N98" s="43"/>
      <c r="Q98" s="43"/>
      <c r="R98" s="43"/>
    </row>
    <row r="99" spans="2:18" x14ac:dyDescent="0.2">
      <c r="B99" s="26" t="s">
        <v>403</v>
      </c>
      <c r="H99" s="43"/>
      <c r="I99" s="44"/>
      <c r="J99" s="43"/>
      <c r="L99" s="43"/>
      <c r="M99" s="43"/>
      <c r="N99" s="43"/>
      <c r="Q99" s="43"/>
      <c r="R99" s="43"/>
    </row>
    <row r="100" spans="2:18" x14ac:dyDescent="0.2">
      <c r="B100" s="26" t="str">
        <f>IF(Lang="Français","Fusée expérimentale.",IF(Lang="English","Experimental Rocket.",""))</f>
        <v>Fusée expérimentale.</v>
      </c>
      <c r="H100" s="43"/>
      <c r="I100" s="44"/>
      <c r="J100" s="43"/>
      <c r="L100" s="43"/>
      <c r="M100" s="43"/>
      <c r="N100" s="43"/>
      <c r="Q100" s="43"/>
      <c r="R100" s="43"/>
    </row>
    <row r="101" spans="2:18" x14ac:dyDescent="0.2">
      <c r="B101" s="26" t="s">
        <v>404</v>
      </c>
      <c r="H101" s="43"/>
      <c r="I101" s="44"/>
      <c r="J101" s="43"/>
      <c r="L101" s="43"/>
      <c r="M101" s="43"/>
      <c r="N101" s="43"/>
      <c r="Q101" s="43"/>
      <c r="R101" s="43"/>
    </row>
    <row r="102" spans="2:18" x14ac:dyDescent="0.2">
      <c r="B102" s="26"/>
      <c r="H102" s="43"/>
      <c r="I102" s="44"/>
      <c r="J102" s="43"/>
      <c r="L102" s="43"/>
      <c r="M102" s="43"/>
      <c r="N102" s="43"/>
      <c r="Q102" s="43"/>
      <c r="R102" s="43"/>
    </row>
    <row r="103" spans="2:18" x14ac:dyDescent="0.2">
      <c r="B103" s="26" t="str">
        <f>IF(Lang="Français","sans propu",IF(Lang="English","without motor",""))</f>
        <v>sans propu</v>
      </c>
      <c r="H103" s="43"/>
      <c r="I103" s="44"/>
      <c r="J103" s="43"/>
      <c r="L103" s="43"/>
      <c r="M103" s="43"/>
      <c r="N103" s="43"/>
      <c r="Q103" s="43"/>
      <c r="R103" s="43"/>
    </row>
    <row r="104" spans="2:18" x14ac:dyDescent="0.2">
      <c r="B104" s="26" t="str">
        <f>IF(Lang="Français","avec propu vide",IF(Lang="English","with empty motor",""))</f>
        <v>avec propu vide</v>
      </c>
      <c r="H104" s="43"/>
      <c r="I104" s="44"/>
      <c r="J104" s="43"/>
      <c r="L104" s="43"/>
      <c r="M104" s="43"/>
      <c r="N104" s="43"/>
      <c r="Q104" s="43"/>
      <c r="R104" s="43"/>
    </row>
    <row r="105" spans="2:18" x14ac:dyDescent="0.2">
      <c r="B105" s="26" t="str">
        <f>IF(Lang="Français","avec propu plein",IF(Lang="English","with loaded motor",""))</f>
        <v>avec propu plein</v>
      </c>
      <c r="H105" s="43"/>
      <c r="I105" s="44"/>
      <c r="J105" s="43"/>
      <c r="L105" s="43"/>
      <c r="M105" s="43"/>
      <c r="N105" s="43"/>
      <c r="Q105" s="43"/>
      <c r="R105" s="43"/>
    </row>
    <row r="106" spans="2:18" x14ac:dyDescent="0.2">
      <c r="B106" s="26"/>
      <c r="H106" s="43"/>
      <c r="I106" s="44"/>
      <c r="J106" s="43"/>
      <c r="L106" s="43"/>
      <c r="M106" s="43"/>
      <c r="N106" s="43"/>
      <c r="Q106" s="43"/>
      <c r="R106" s="43"/>
    </row>
    <row r="107" spans="2:18" x14ac:dyDescent="0.2">
      <c r="B107" s="26" t="str">
        <f>IF(Lang="Français","Parabolique (arrondie)",IF(Lang="English","Parabola (rounded)",""))</f>
        <v>Parabolique (arrondie)</v>
      </c>
      <c r="H107" s="43"/>
      <c r="I107" s="44"/>
      <c r="J107" s="43"/>
      <c r="L107" s="43"/>
      <c r="M107" s="43"/>
      <c r="N107" s="43"/>
      <c r="Q107" s="43"/>
      <c r="R107" s="43"/>
    </row>
    <row r="108" spans="2:18" x14ac:dyDescent="0.2">
      <c r="B108" s="26" t="str">
        <f>IF(Lang="Français","Ogivale (pointue)",IF(Lang="English","Ogive (sharp)",""))</f>
        <v>Ogivale (pointue)</v>
      </c>
      <c r="H108" s="43"/>
      <c r="I108" s="44"/>
      <c r="J108" s="43"/>
      <c r="L108" s="43"/>
      <c r="M108" s="43"/>
      <c r="N108" s="43"/>
      <c r="Q108" s="43"/>
      <c r="R108" s="43"/>
    </row>
    <row r="109" spans="2:18" x14ac:dyDescent="0.2">
      <c r="B109" s="26" t="str">
        <f>IF(Lang="Français","Conique (droite)",IF(Lang="English","Cone (straight)",""))</f>
        <v>Conique (droite)</v>
      </c>
      <c r="H109" s="43"/>
      <c r="I109" s="44"/>
      <c r="J109" s="43"/>
      <c r="L109" s="43"/>
      <c r="M109" s="43"/>
      <c r="N109" s="43"/>
      <c r="Q109" s="43"/>
      <c r="R109" s="43"/>
    </row>
    <row r="110" spans="2:18" x14ac:dyDescent="0.2">
      <c r="B110" s="38"/>
      <c r="H110" s="43"/>
      <c r="I110" s="44"/>
      <c r="J110" s="43"/>
      <c r="L110" s="43"/>
      <c r="M110" s="43"/>
      <c r="N110" s="43"/>
      <c r="Q110" s="43"/>
      <c r="R110" s="43"/>
    </row>
    <row r="111" spans="2:18" x14ac:dyDescent="0.2">
      <c r="B111" s="38" t="s">
        <v>430</v>
      </c>
      <c r="H111" s="43"/>
      <c r="I111" s="44"/>
      <c r="J111" s="43"/>
      <c r="L111" s="43"/>
      <c r="M111" s="43"/>
      <c r="N111" s="43"/>
      <c r="Q111" s="43"/>
      <c r="R111" s="43"/>
    </row>
    <row r="112" spans="2:18" x14ac:dyDescent="0.2">
      <c r="B112" s="38" t="s">
        <v>431</v>
      </c>
      <c r="H112" s="43"/>
      <c r="I112" s="44"/>
      <c r="J112" s="43"/>
      <c r="L112" s="43"/>
      <c r="M112" s="43"/>
      <c r="N112" s="43"/>
      <c r="Q112" s="43"/>
      <c r="R112" s="43"/>
    </row>
    <row r="113" spans="2:18" x14ac:dyDescent="0.2">
      <c r="B113" s="38"/>
      <c r="H113" s="43"/>
      <c r="I113" s="44"/>
      <c r="J113" s="43"/>
      <c r="L113" s="43"/>
      <c r="M113" s="43"/>
      <c r="N113" s="43"/>
      <c r="Q113" s="43"/>
      <c r="R113" s="43"/>
    </row>
    <row r="114" spans="2:18" x14ac:dyDescent="0.2">
      <c r="B114" s="38" t="str">
        <f>IF(Lang="Français","Fusée mono-diamètre,",IF(Lang="English","Mono-diameter rocket,",""))</f>
        <v>Fusée mono-diamètre,</v>
      </c>
      <c r="H114" s="43"/>
      <c r="I114" s="44"/>
      <c r="J114" s="43"/>
      <c r="L114" s="43"/>
      <c r="M114" s="43"/>
      <c r="N114" s="43"/>
      <c r="Q114" s="43"/>
      <c r="R114" s="43"/>
    </row>
    <row r="115" spans="2:18" x14ac:dyDescent="0.2">
      <c r="B115" s="38" t="str">
        <f>IF(Lang="Français","Plusieurs diamètres.",IF(Lang="English","Many diameters rocket.",""))</f>
        <v>Plusieurs diamètres.</v>
      </c>
      <c r="H115" s="43"/>
      <c r="I115" s="44"/>
      <c r="J115" s="43"/>
      <c r="L115" s="43"/>
      <c r="M115" s="43"/>
      <c r="N115" s="43"/>
      <c r="Q115" s="43"/>
      <c r="R115" s="43"/>
    </row>
    <row r="116" spans="2:18" x14ac:dyDescent="0.2">
      <c r="B116" s="38"/>
      <c r="H116" s="43"/>
      <c r="I116" s="44"/>
      <c r="J116" s="43"/>
      <c r="L116" s="43"/>
      <c r="M116" s="43"/>
      <c r="N116" s="43"/>
      <c r="Q116" s="43"/>
      <c r="R116" s="43"/>
    </row>
    <row r="117" spans="2:18" x14ac:dyDescent="0.2">
      <c r="B117" s="223" t="str">
        <f>IF(Lang="Français","Diagramme des critères de stabilité","Stability criterions diagram")</f>
        <v>Diagramme des critères de stabilité</v>
      </c>
      <c r="H117" s="43"/>
      <c r="I117" s="44"/>
      <c r="J117" s="43"/>
      <c r="L117" s="43"/>
      <c r="M117" s="43"/>
      <c r="N117" s="43"/>
      <c r="Q117" s="43"/>
      <c r="R117" s="43"/>
    </row>
    <row r="118" spans="2:18" x14ac:dyDescent="0.2">
      <c r="B118" s="223" t="str">
        <f>IF(Lang="Français","Marge Statique (MS)","Static Margin")</f>
        <v>Marge Statique (MS)</v>
      </c>
      <c r="H118" s="43"/>
      <c r="I118" s="44"/>
      <c r="J118" s="43"/>
      <c r="L118" s="43"/>
      <c r="M118" s="43"/>
      <c r="N118" s="43"/>
      <c r="Q118" s="43"/>
      <c r="R118" s="43"/>
    </row>
    <row r="119" spans="2:18" x14ac:dyDescent="0.2">
      <c r="B119" s="223" t="str">
        <f>IF(Lang="Français","Portance Cnα","Lift Cnα")</f>
        <v>Portance Cnα</v>
      </c>
      <c r="H119" s="43"/>
      <c r="I119" s="44"/>
      <c r="J119" s="43"/>
      <c r="L119" s="43"/>
      <c r="M119" s="43"/>
      <c r="N119" s="43"/>
      <c r="Q119" s="43"/>
      <c r="R119" s="43"/>
    </row>
    <row r="120" spans="2:18" x14ac:dyDescent="0.2">
      <c r="B120" s="38"/>
      <c r="H120" s="43"/>
      <c r="I120" s="44"/>
      <c r="J120" s="43"/>
      <c r="L120" s="43"/>
      <c r="M120" s="43"/>
      <c r="N120" s="43"/>
      <c r="Q120" s="43"/>
      <c r="R120" s="43"/>
    </row>
    <row r="121" spans="2:18" x14ac:dyDescent="0.2">
      <c r="B121" s="24" t="str">
        <f>IF(Lang="Français","Données pour les graphiques :",IF(Lang="English","Data for plots:",""))</f>
        <v>Données pour les graphiques :</v>
      </c>
      <c r="H121" s="43"/>
      <c r="I121" s="44"/>
      <c r="J121" s="43"/>
      <c r="L121" s="43"/>
      <c r="M121" s="43"/>
      <c r="N121" s="43"/>
      <c r="Q121" s="43"/>
      <c r="R121" s="43"/>
    </row>
    <row r="122" spans="2:18" x14ac:dyDescent="0.2">
      <c r="H122" s="43"/>
      <c r="I122" s="44"/>
      <c r="J122" s="43"/>
      <c r="L122" s="43"/>
      <c r="M122" s="43"/>
      <c r="N122" s="43"/>
      <c r="Q122" s="43"/>
      <c r="R122" s="43"/>
    </row>
    <row r="123" spans="2:18" x14ac:dyDescent="0.2">
      <c r="B123" s="45"/>
      <c r="C123" s="45" t="s">
        <v>71</v>
      </c>
      <c r="D123" s="45" t="s">
        <v>72</v>
      </c>
      <c r="E123" s="92" t="s">
        <v>73</v>
      </c>
      <c r="K123" s="45"/>
      <c r="R123" s="43"/>
    </row>
    <row r="124" spans="2:18" x14ac:dyDescent="0.2">
      <c r="B124" s="45" t="s">
        <v>75</v>
      </c>
      <c r="C124" s="46">
        <f>-Long_ogive</f>
        <v>-275</v>
      </c>
      <c r="D124" s="46">
        <v>0</v>
      </c>
      <c r="E124" s="93">
        <f t="shared" ref="E124:E136" si="0">-D124</f>
        <v>0</v>
      </c>
      <c r="K124" s="46"/>
    </row>
    <row r="125" spans="2:18" x14ac:dyDescent="0.2">
      <c r="B125" s="45" t="s">
        <v>75</v>
      </c>
      <c r="C125" s="46">
        <f>-Long_ogive</f>
        <v>-275</v>
      </c>
      <c r="D125" s="46">
        <f>D_og/2</f>
        <v>42</v>
      </c>
      <c r="E125" s="93">
        <f t="shared" si="0"/>
        <v>-42</v>
      </c>
      <c r="K125" s="46"/>
    </row>
    <row r="126" spans="2:18" x14ac:dyDescent="0.2">
      <c r="B126" s="45" t="s">
        <v>76</v>
      </c>
      <c r="C126" s="46">
        <f>IF(AND(RIGHT(Nb_diam,1)=".",X_j), -X_j, C125 )</f>
        <v>-1035</v>
      </c>
      <c r="D126" s="46">
        <f>IF(AND(RIGHT(Nb_diam,1)=".",X_j), D1j/2, D125 )</f>
        <v>42</v>
      </c>
      <c r="E126" s="93">
        <f t="shared" si="0"/>
        <v>-42</v>
      </c>
      <c r="K126" s="46"/>
    </row>
    <row r="127" spans="2:18" x14ac:dyDescent="0.2">
      <c r="B127" s="45" t="s">
        <v>77</v>
      </c>
      <c r="C127" s="46">
        <f>IF(AND(RIGHT(Nb_diam,1)=".",X_j), -X_j-l_j, C126 )</f>
        <v>-1110</v>
      </c>
      <c r="D127" s="46">
        <f>IF(AND(RIGHT(Nb_diam,1)=".",X_j), D2j/2, D126 )</f>
        <v>52</v>
      </c>
      <c r="E127" s="93">
        <f t="shared" si="0"/>
        <v>-52</v>
      </c>
      <c r="K127" s="46"/>
    </row>
    <row r="128" spans="2:18" x14ac:dyDescent="0.2">
      <c r="B128" s="45" t="s">
        <v>78</v>
      </c>
      <c r="C128" s="46">
        <f>IF(AND(RIGHT(Nb_diam,1)=".",X_r), -X_r, C127 )</f>
        <v>-1942</v>
      </c>
      <c r="D128" s="46">
        <f>IF(AND(RIGHT(Nb_diam,1)=".",X_r), D1r/2, D127 )</f>
        <v>52</v>
      </c>
      <c r="E128" s="93">
        <f t="shared" si="0"/>
        <v>-52</v>
      </c>
      <c r="K128" s="46"/>
    </row>
    <row r="129" spans="2:11" x14ac:dyDescent="0.2">
      <c r="B129" s="45" t="s">
        <v>79</v>
      </c>
      <c r="C129" s="46">
        <f>IF(AND(RIGHT(Nb_diam,1)=".",X_r), -X_r-l_r, C128 )</f>
        <v>-1992</v>
      </c>
      <c r="D129" s="46">
        <f>IF(AND(RIGHT(Nb_diam,1)=".",X_r), D2r/2, D128 )</f>
        <v>52</v>
      </c>
      <c r="E129" s="93">
        <f t="shared" si="0"/>
        <v>-52</v>
      </c>
      <c r="K129" s="46"/>
    </row>
    <row r="130" spans="2:11" x14ac:dyDescent="0.2">
      <c r="B130" s="45" t="s">
        <v>80</v>
      </c>
      <c r="C130" s="46">
        <f>-Long_tot</f>
        <v>-1992</v>
      </c>
      <c r="D130" s="46">
        <f>D129</f>
        <v>52</v>
      </c>
      <c r="E130" s="93">
        <f t="shared" si="0"/>
        <v>-52</v>
      </c>
      <c r="K130" s="46"/>
    </row>
    <row r="131" spans="2:11" x14ac:dyDescent="0.2">
      <c r="B131" s="45" t="s">
        <v>80</v>
      </c>
      <c r="C131" s="46">
        <f>-Long_tot</f>
        <v>-1992</v>
      </c>
      <c r="D131" s="46">
        <v>0</v>
      </c>
      <c r="E131" s="93">
        <f t="shared" si="0"/>
        <v>0</v>
      </c>
      <c r="K131" s="46"/>
    </row>
    <row r="132" spans="2:11" x14ac:dyDescent="0.2">
      <c r="B132" s="183" t="s">
        <v>81</v>
      </c>
      <c r="C132" s="197">
        <f>-X_ail+m_ail</f>
        <v>-1782</v>
      </c>
      <c r="D132" s="197">
        <f>D_ail/2</f>
        <v>52</v>
      </c>
      <c r="E132" s="198">
        <f t="shared" si="0"/>
        <v>-52</v>
      </c>
      <c r="K132" s="46"/>
    </row>
    <row r="133" spans="2:11" x14ac:dyDescent="0.2">
      <c r="B133" s="185" t="s">
        <v>82</v>
      </c>
      <c r="C133" s="46">
        <f>-X_ail+m_ail-p_ail</f>
        <v>-1912</v>
      </c>
      <c r="D133" s="46">
        <f>D_ail/2+E_ail</f>
        <v>182</v>
      </c>
      <c r="E133" s="199">
        <f t="shared" si="0"/>
        <v>-182</v>
      </c>
      <c r="K133" s="46"/>
    </row>
    <row r="134" spans="2:11" x14ac:dyDescent="0.2">
      <c r="B134" s="185" t="s">
        <v>83</v>
      </c>
      <c r="C134" s="46">
        <f>-X_ail+m_ail-p_ail-n_ail</f>
        <v>-2032</v>
      </c>
      <c r="D134" s="46">
        <f>D_ail/2+E_ail</f>
        <v>182</v>
      </c>
      <c r="E134" s="199">
        <f t="shared" si="0"/>
        <v>-182</v>
      </c>
      <c r="K134" s="46"/>
    </row>
    <row r="135" spans="2:11" x14ac:dyDescent="0.2">
      <c r="B135" s="185" t="s">
        <v>84</v>
      </c>
      <c r="C135" s="46">
        <f>-X_ail</f>
        <v>-1972</v>
      </c>
      <c r="D135" s="46">
        <f>D_ail/2</f>
        <v>52</v>
      </c>
      <c r="E135" s="199">
        <f t="shared" si="0"/>
        <v>-52</v>
      </c>
      <c r="K135" s="46"/>
    </row>
    <row r="136" spans="2:11" x14ac:dyDescent="0.2">
      <c r="B136" s="187" t="s">
        <v>81</v>
      </c>
      <c r="C136" s="200">
        <f>-X_ail+m_ail</f>
        <v>-1782</v>
      </c>
      <c r="D136" s="200">
        <f>D_ail/2</f>
        <v>52</v>
      </c>
      <c r="E136" s="201">
        <f t="shared" si="0"/>
        <v>-52</v>
      </c>
      <c r="K136" s="46"/>
    </row>
    <row r="137" spans="2:11" x14ac:dyDescent="0.2">
      <c r="B137" s="192" t="str">
        <f>IF(E_ail&gt;0,IF(Lang="Français","Envergure","Span"),"")</f>
        <v>Envergure</v>
      </c>
      <c r="C137" s="197">
        <f>MIN(-X_ail,-X_ail+m_ail-p_ail-n_ail)-Long_tot/30</f>
        <v>-2098.4</v>
      </c>
      <c r="D137" s="207">
        <f>-D_ail/2-E_ail</f>
        <v>-182</v>
      </c>
      <c r="E137" s="93"/>
      <c r="K137" s="46"/>
    </row>
    <row r="138" spans="2:11" x14ac:dyDescent="0.2">
      <c r="B138" s="195" t="s">
        <v>171</v>
      </c>
      <c r="C138" s="46">
        <f>MIN(-X_ail,-X_ail+m_ail-p_ail-n_ail)-Long_tot/30</f>
        <v>-2098.4</v>
      </c>
      <c r="D138" s="208">
        <f>-D_ail/2-E_ail/2</f>
        <v>-117</v>
      </c>
      <c r="E138" s="93"/>
      <c r="K138" s="46"/>
    </row>
    <row r="139" spans="2:11" x14ac:dyDescent="0.2">
      <c r="B139" s="212" t="s">
        <v>167</v>
      </c>
      <c r="C139" s="200">
        <f>MIN(-X_ail,-X_ail+m_ail-p_ail-n_ail)-Long_tot/30</f>
        <v>-2098.4</v>
      </c>
      <c r="D139" s="209">
        <f>-D_ail/2</f>
        <v>-52</v>
      </c>
      <c r="E139" s="93"/>
      <c r="K139" s="46"/>
    </row>
    <row r="140" spans="2:11" x14ac:dyDescent="0.2">
      <c r="B140" s="192" t="str">
        <f>IF(Lang="Français","Emplanture","Root edge")</f>
        <v>Emplanture</v>
      </c>
      <c r="C140" s="197">
        <f>-X_ail+m_ail</f>
        <v>-1782</v>
      </c>
      <c r="D140" s="207">
        <f>D_ail/2+E_ail+Long_tot/20</f>
        <v>281.60000000000002</v>
      </c>
      <c r="E140" s="93"/>
      <c r="K140" s="46"/>
    </row>
    <row r="141" spans="2:11" x14ac:dyDescent="0.2">
      <c r="B141" s="195" t="s">
        <v>173</v>
      </c>
      <c r="C141" s="46">
        <f>-X_ail+m_ail/2</f>
        <v>-1877</v>
      </c>
      <c r="D141" s="208">
        <f>D_ail/2+E_ail+Long_tot/20</f>
        <v>281.60000000000002</v>
      </c>
      <c r="E141" s="93"/>
      <c r="K141" s="46"/>
    </row>
    <row r="142" spans="2:11" x14ac:dyDescent="0.2">
      <c r="B142" s="212" t="s">
        <v>174</v>
      </c>
      <c r="C142" s="200">
        <f>-X_ail</f>
        <v>-1972</v>
      </c>
      <c r="D142" s="209">
        <f>D_ail/2+E_ail+Long_tot/20</f>
        <v>281.60000000000002</v>
      </c>
      <c r="E142" s="93"/>
      <c r="K142" s="46"/>
    </row>
    <row r="143" spans="2:11" x14ac:dyDescent="0.2">
      <c r="B143" s="192" t="str">
        <f>IF(p_ail&lt;&gt;0,IF(Lang="Français","Flèche","Offset"),"")</f>
        <v>Flèche</v>
      </c>
      <c r="C143" s="197">
        <f>-X_ail+m_ail</f>
        <v>-1782</v>
      </c>
      <c r="D143" s="207">
        <f>-D_ail/2-E_ail-Long_tot/30</f>
        <v>-248.4</v>
      </c>
      <c r="E143" s="93"/>
      <c r="K143" s="46"/>
    </row>
    <row r="144" spans="2:11" x14ac:dyDescent="0.2">
      <c r="B144" s="195" t="s">
        <v>170</v>
      </c>
      <c r="C144" s="46">
        <f>-X_ail+m_ail-p_ail/2</f>
        <v>-1847</v>
      </c>
      <c r="D144" s="208">
        <f>-D_ail/2-E_ail-Long_tot/30</f>
        <v>-248.4</v>
      </c>
      <c r="E144" s="93"/>
      <c r="K144" s="46"/>
    </row>
    <row r="145" spans="2:11" x14ac:dyDescent="0.2">
      <c r="B145" s="212" t="s">
        <v>168</v>
      </c>
      <c r="C145" s="200">
        <f>-X_ail+m_ail-p_ail</f>
        <v>-1912</v>
      </c>
      <c r="D145" s="209">
        <f>-D_ail/2-E_ail-Long_tot/30</f>
        <v>-248.4</v>
      </c>
      <c r="E145" s="93"/>
      <c r="K145" s="46"/>
    </row>
    <row r="146" spans="2:11" x14ac:dyDescent="0.2">
      <c r="B146" s="192" t="str">
        <f>IF(n_ail&gt;0,IF(Lang="Français","Saumon","Tip edge"),"")</f>
        <v>Saumon</v>
      </c>
      <c r="C146" s="197">
        <f>-X_ail+m_ail-p_ail</f>
        <v>-1912</v>
      </c>
      <c r="D146" s="207">
        <f>-D_ail/2-E_ail-Long_tot/20</f>
        <v>-281.60000000000002</v>
      </c>
      <c r="E146" s="93"/>
      <c r="K146" s="46"/>
    </row>
    <row r="147" spans="2:11" x14ac:dyDescent="0.2">
      <c r="B147" s="195" t="s">
        <v>172</v>
      </c>
      <c r="C147" s="46">
        <f>-X_ail+m_ail-p_ail-n_ail/2</f>
        <v>-1972</v>
      </c>
      <c r="D147" s="208">
        <f>-D_ail/2-E_ail-Long_tot/20</f>
        <v>-281.60000000000002</v>
      </c>
      <c r="E147" s="93"/>
      <c r="K147" s="46"/>
    </row>
    <row r="148" spans="2:11" x14ac:dyDescent="0.2">
      <c r="B148" s="212" t="s">
        <v>169</v>
      </c>
      <c r="C148" s="200">
        <f>-X_ail+m_ail-p_ail-n_ail</f>
        <v>-2032</v>
      </c>
      <c r="D148" s="209">
        <f>-D_ail/2-E_ail-Long_tot/20</f>
        <v>-281.60000000000002</v>
      </c>
      <c r="E148" s="93"/>
      <c r="K148" s="46"/>
    </row>
    <row r="149" spans="2:11" x14ac:dyDescent="0.2">
      <c r="B149" s="183" t="s">
        <v>85</v>
      </c>
      <c r="C149" s="197">
        <f ca="1">-XcgPlein</f>
        <v>-1149.206106870229</v>
      </c>
      <c r="D149" s="207">
        <v>0</v>
      </c>
      <c r="E149" s="93"/>
      <c r="K149" s="46"/>
    </row>
    <row r="150" spans="2:11" x14ac:dyDescent="0.2">
      <c r="B150" s="187" t="s">
        <v>86</v>
      </c>
      <c r="C150" s="200">
        <f ca="1">-XcgVide</f>
        <v>-1064.8340016038492</v>
      </c>
      <c r="D150" s="209">
        <v>0</v>
      </c>
      <c r="E150" s="93"/>
      <c r="K150" s="46"/>
    </row>
    <row r="151" spans="2:11" x14ac:dyDescent="0.2">
      <c r="B151" s="183" t="s">
        <v>87</v>
      </c>
      <c r="C151" s="197">
        <f>-XCp</f>
        <v>-1323.1177262829949</v>
      </c>
      <c r="D151" s="207">
        <v>0</v>
      </c>
      <c r="E151" s="93"/>
      <c r="K151" s="46"/>
    </row>
    <row r="152" spans="2:11" x14ac:dyDescent="0.2">
      <c r="B152" s="187" t="s">
        <v>87</v>
      </c>
      <c r="C152" s="200">
        <f>-XCp</f>
        <v>-1323.1177262829949</v>
      </c>
      <c r="D152" s="209">
        <f>Cn*D_ref/CritCnmin</f>
        <v>137.13545582801743</v>
      </c>
      <c r="E152" s="93"/>
      <c r="K152" s="46"/>
    </row>
    <row r="153" spans="2:11" x14ac:dyDescent="0.2">
      <c r="B153" s="185" t="s">
        <v>428</v>
      </c>
      <c r="C153" s="46">
        <f>-XCp0</f>
        <v>-1422.7207827524956</v>
      </c>
      <c r="D153" s="208">
        <f>Cn0*D_ref/CritCnmin</f>
        <v>167.64720232260288</v>
      </c>
      <c r="E153" s="93"/>
      <c r="K153" s="46"/>
    </row>
    <row r="154" spans="2:11" x14ac:dyDescent="0.2">
      <c r="B154" s="185" t="s">
        <v>428</v>
      </c>
      <c r="C154" s="46">
        <f>-XCp0</f>
        <v>-1422.7207827524956</v>
      </c>
      <c r="D154" s="208">
        <v>0</v>
      </c>
      <c r="E154" s="93"/>
      <c r="K154" s="46"/>
    </row>
    <row r="155" spans="2:11" x14ac:dyDescent="0.2">
      <c r="B155" s="192" t="str">
        <f>IF(n_ail&gt;0,IF(Lang="Français","Marge Statique","Static Margin"),"")</f>
        <v>Marge Statique</v>
      </c>
      <c r="C155" s="197">
        <f ca="1">(-XcgPlein-XcgVide)/2</f>
        <v>-1107.0200542370389</v>
      </c>
      <c r="D155" s="207">
        <f>-D_ail/2-E_ail-Long_tot/20</f>
        <v>-281.60000000000002</v>
      </c>
      <c r="E155" s="93"/>
      <c r="K155" s="46"/>
    </row>
    <row r="156" spans="2:11" x14ac:dyDescent="0.2">
      <c r="B156" s="195" t="s">
        <v>175</v>
      </c>
      <c r="C156" s="46">
        <f ca="1">(C155+C157)/2</f>
        <v>-1215.0688902600168</v>
      </c>
      <c r="D156" s="208">
        <f>-D_ail/2-E_ail-Long_tot/20</f>
        <v>-281.60000000000002</v>
      </c>
      <c r="E156" s="93"/>
      <c r="K156" s="46"/>
    </row>
    <row r="157" spans="2:11" x14ac:dyDescent="0.2">
      <c r="B157" s="212" t="s">
        <v>176</v>
      </c>
      <c r="C157" s="200">
        <f>-XCp</f>
        <v>-1323.1177262829949</v>
      </c>
      <c r="D157" s="209">
        <f>-D_ail/2-E_ail-Long_tot/20</f>
        <v>-281.60000000000002</v>
      </c>
      <c r="E157" s="93"/>
      <c r="K157" s="46"/>
    </row>
    <row r="158" spans="2:11" x14ac:dyDescent="0.2">
      <c r="B158" s="183" t="s">
        <v>88</v>
      </c>
      <c r="C158" s="197">
        <f>IF(LEFT(Type_masquage,1)="M",0,-X_can+m_can)</f>
        <v>-865</v>
      </c>
      <c r="D158" s="197">
        <f>IF(LEFT(Type_masquage,1)="M",0,D_ail/2)</f>
        <v>52</v>
      </c>
      <c r="E158" s="198">
        <f t="shared" ref="E158:E167" si="1">-D158</f>
        <v>-52</v>
      </c>
      <c r="K158" s="46"/>
    </row>
    <row r="159" spans="2:11" x14ac:dyDescent="0.2">
      <c r="B159" s="185" t="s">
        <v>89</v>
      </c>
      <c r="C159" s="46">
        <f>IF(LEFT(Type_masquage,1)="M",0,-X_can+m_can-p_can)</f>
        <v>-1005</v>
      </c>
      <c r="D159" s="46">
        <f>IF(LEFT(Type_masquage,1)="M",0,D_ail/2+E_can)</f>
        <v>162</v>
      </c>
      <c r="E159" s="199">
        <f t="shared" si="1"/>
        <v>-162</v>
      </c>
      <c r="K159" s="46"/>
    </row>
    <row r="160" spans="2:11" x14ac:dyDescent="0.2">
      <c r="B160" s="185" t="s">
        <v>90</v>
      </c>
      <c r="C160" s="46">
        <f>IF(LEFT(Type_masquage,1)="M",0,-X_can+m_can-p_can-n_can)</f>
        <v>-1085</v>
      </c>
      <c r="D160" s="46">
        <f>IF(LEFT(Type_masquage,1)="M",0,D_ail/2+E_can)</f>
        <v>162</v>
      </c>
      <c r="E160" s="199">
        <f t="shared" si="1"/>
        <v>-162</v>
      </c>
      <c r="K160" s="46"/>
    </row>
    <row r="161" spans="2:11" x14ac:dyDescent="0.2">
      <c r="B161" s="185" t="s">
        <v>91</v>
      </c>
      <c r="C161" s="46">
        <f>IF(LEFT(Type_masquage,1)="M",0,-X_can)</f>
        <v>-1035</v>
      </c>
      <c r="D161" s="46">
        <f>IF(LEFT(Type_masquage,1)="M",0,D_ail/2)</f>
        <v>52</v>
      </c>
      <c r="E161" s="199">
        <f t="shared" si="1"/>
        <v>-52</v>
      </c>
      <c r="K161" s="46"/>
    </row>
    <row r="162" spans="2:11" x14ac:dyDescent="0.2">
      <c r="B162" s="187" t="s">
        <v>88</v>
      </c>
      <c r="C162" s="200">
        <f>IF(LEFT(Type_masquage,1)="M",0,-X_can+m_can)</f>
        <v>-865</v>
      </c>
      <c r="D162" s="200">
        <f>IF(LEFT(Type_masquage,1)="M",0,D_ail/2)</f>
        <v>52</v>
      </c>
      <c r="E162" s="201">
        <f t="shared" si="1"/>
        <v>-52</v>
      </c>
      <c r="K162" s="46"/>
    </row>
    <row r="163" spans="2:11" x14ac:dyDescent="0.2">
      <c r="B163" s="183" t="s">
        <v>92</v>
      </c>
      <c r="C163" s="197">
        <f>IF(LEFT(Type_masquage,1)="B",-X_int+m_int,0)</f>
        <v>-1782</v>
      </c>
      <c r="D163" s="197">
        <f>IF(LEFT(Type_masquage,1)="B",D_int/2,0)</f>
        <v>52</v>
      </c>
      <c r="E163" s="198">
        <f t="shared" si="1"/>
        <v>-52</v>
      </c>
      <c r="K163" s="46"/>
    </row>
    <row r="164" spans="2:11" x14ac:dyDescent="0.2">
      <c r="B164" s="185" t="s">
        <v>93</v>
      </c>
      <c r="C164" s="46">
        <f>IF(LEFT(Type_masquage,1)="B",-X_int+m_int-p_int,0)</f>
        <v>-1882</v>
      </c>
      <c r="D164" s="46">
        <f>IF(LEFT(Type_masquage,1)="B",D_int/2+E_int,0)</f>
        <v>152</v>
      </c>
      <c r="E164" s="199">
        <f t="shared" si="1"/>
        <v>-152</v>
      </c>
      <c r="K164" s="46"/>
    </row>
    <row r="165" spans="2:11" x14ac:dyDescent="0.2">
      <c r="B165" s="185" t="s">
        <v>94</v>
      </c>
      <c r="C165" s="46">
        <f>IF(LEFT(Type_masquage,1)="B",-X_int+m_int-p_int-n_int,0)</f>
        <v>-2018.1538461538462</v>
      </c>
      <c r="D165" s="46">
        <f>IF(LEFT(Type_masquage,1)="B",D_int/2+E_int,0)</f>
        <v>152</v>
      </c>
      <c r="E165" s="199">
        <f t="shared" si="1"/>
        <v>-152</v>
      </c>
      <c r="K165" s="46"/>
    </row>
    <row r="166" spans="2:11" x14ac:dyDescent="0.2">
      <c r="B166" s="185" t="s">
        <v>95</v>
      </c>
      <c r="C166" s="46">
        <f>IF(LEFT(Type_masquage,1)="B",-X_int,0)</f>
        <v>-1972</v>
      </c>
      <c r="D166" s="46">
        <f>IF(LEFT(Type_masquage,1)="B",D_int/2,0)</f>
        <v>52</v>
      </c>
      <c r="E166" s="199">
        <f t="shared" si="1"/>
        <v>-52</v>
      </c>
      <c r="K166" s="46"/>
    </row>
    <row r="167" spans="2:11" x14ac:dyDescent="0.2">
      <c r="B167" s="187" t="s">
        <v>92</v>
      </c>
      <c r="C167" s="200">
        <f>IF(LEFT(Type_masquage,1)="B",-X_int+m_int,0)</f>
        <v>-1782</v>
      </c>
      <c r="D167" s="200">
        <f>IF(LEFT(Type_masquage,1)="B",D_int/2,0)</f>
        <v>52</v>
      </c>
      <c r="E167" s="201">
        <f t="shared" si="1"/>
        <v>-52</v>
      </c>
      <c r="K167" s="46"/>
    </row>
    <row r="168" spans="2:11" x14ac:dyDescent="0.2">
      <c r="B168" s="45" t="s">
        <v>96</v>
      </c>
      <c r="C168" s="46">
        <f>-MAX(Long_tot, X_ail-m_ail+p_ail+n_ail, (E_ail+D_ail/2)*3.2)*1.01</f>
        <v>-2052.3200000000002</v>
      </c>
      <c r="D168" s="46">
        <f>MAX(E_ail+D_ail/2, Long_tot/3)</f>
        <v>664</v>
      </c>
      <c r="E168" s="93"/>
      <c r="K168" s="46"/>
    </row>
    <row r="169" spans="2:11" x14ac:dyDescent="0.2">
      <c r="B169" s="45" t="s">
        <v>96</v>
      </c>
      <c r="C169" s="46">
        <f>C168</f>
        <v>-2052.3200000000002</v>
      </c>
      <c r="D169" s="46">
        <f>-D168</f>
        <v>-664</v>
      </c>
      <c r="E169" s="93"/>
      <c r="K169" s="46"/>
    </row>
    <row r="170" spans="2:11" x14ac:dyDescent="0.2">
      <c r="B170" s="183" t="s">
        <v>97</v>
      </c>
      <c r="C170" s="197">
        <f ca="1">-XpropuRef+Long_propu</f>
        <v>-1504</v>
      </c>
      <c r="D170" s="207">
        <f ca="1">-Diam_propu/2</f>
        <v>-27</v>
      </c>
      <c r="E170" s="93"/>
      <c r="K170" s="46"/>
    </row>
    <row r="171" spans="2:11" x14ac:dyDescent="0.2">
      <c r="B171" s="185" t="s">
        <v>98</v>
      </c>
      <c r="C171" s="46">
        <f ca="1">-XpropuRef+Long_propu</f>
        <v>-1504</v>
      </c>
      <c r="D171" s="208">
        <f ca="1">Diam_propu/2</f>
        <v>27</v>
      </c>
      <c r="E171" s="93"/>
      <c r="K171" s="46"/>
    </row>
    <row r="172" spans="2:11" x14ac:dyDescent="0.2">
      <c r="B172" s="185" t="s">
        <v>99</v>
      </c>
      <c r="C172" s="46">
        <f>-XpropuRef</f>
        <v>-1992</v>
      </c>
      <c r="D172" s="208">
        <f ca="1">Diam_propu/2</f>
        <v>27</v>
      </c>
      <c r="E172" s="93"/>
      <c r="K172" s="46"/>
    </row>
    <row r="173" spans="2:11" x14ac:dyDescent="0.2">
      <c r="B173" s="185" t="s">
        <v>100</v>
      </c>
      <c r="C173" s="46">
        <f>-XpropuRef</f>
        <v>-1992</v>
      </c>
      <c r="D173" s="208">
        <f ca="1">-Diam_propu/2</f>
        <v>-27</v>
      </c>
      <c r="E173" s="93"/>
      <c r="K173" s="46"/>
    </row>
    <row r="174" spans="2:11" x14ac:dyDescent="0.2">
      <c r="B174" s="187" t="s">
        <v>101</v>
      </c>
      <c r="C174" s="200">
        <f ca="1">-XpropuRef+Long_propu</f>
        <v>-1504</v>
      </c>
      <c r="D174" s="209">
        <f ca="1">-Diam_propu/2</f>
        <v>-27</v>
      </c>
      <c r="E174" s="93"/>
      <c r="F174" s="192" t="s">
        <v>163</v>
      </c>
      <c r="G174" s="193" t="s">
        <v>164</v>
      </c>
      <c r="H174" s="194" t="s">
        <v>165</v>
      </c>
      <c r="K174" s="46"/>
    </row>
    <row r="175" spans="2:11" x14ac:dyDescent="0.2">
      <c r="B175" s="183" t="s">
        <v>74</v>
      </c>
      <c r="C175" s="197">
        <v>0</v>
      </c>
      <c r="D175" s="197">
        <v>0</v>
      </c>
      <c r="E175" s="198">
        <f t="shared" ref="E175:E180" si="2">-D175</f>
        <v>0</v>
      </c>
      <c r="F175" s="195">
        <v>0</v>
      </c>
      <c r="G175" s="45">
        <v>0</v>
      </c>
      <c r="H175" s="189">
        <v>0</v>
      </c>
      <c r="K175" s="46"/>
    </row>
    <row r="176" spans="2:11" x14ac:dyDescent="0.2">
      <c r="B176" s="185" t="s">
        <v>75</v>
      </c>
      <c r="C176" s="46">
        <f>-Long_ogive*0.1</f>
        <v>-27.5</v>
      </c>
      <c r="D176" s="46">
        <f>IF(LEFT(Forme_ogive,5)="Parab",H176,IF(LEFT(Forme_ogive,4)="Ogiv",G176,IF(LEFT(Forme_ogive,3)="Con",F176)))</f>
        <v>4.2</v>
      </c>
      <c r="E176" s="199">
        <f t="shared" si="2"/>
        <v>-4.2</v>
      </c>
      <c r="F176" s="185">
        <f>D_og/2*0.1</f>
        <v>4.2</v>
      </c>
      <c r="G176" s="45">
        <f>D_og/2*0.2</f>
        <v>8.4</v>
      </c>
      <c r="H176" s="189">
        <f>D_og/2*0.5</f>
        <v>21</v>
      </c>
      <c r="K176" s="46"/>
    </row>
    <row r="177" spans="2:11" x14ac:dyDescent="0.2">
      <c r="B177" s="185" t="s">
        <v>75</v>
      </c>
      <c r="C177" s="46">
        <f>-Long_ogive/4</f>
        <v>-68.75</v>
      </c>
      <c r="D177" s="46">
        <f>IF(LEFT(Forme_ogive,5)="Parab",H177,IF(LEFT(Forme_ogive,4)="Ogiv",G177,IF(LEFT(Forme_ogive,3)="Con",F177)))</f>
        <v>10.5</v>
      </c>
      <c r="E177" s="199">
        <f t="shared" si="2"/>
        <v>-10.5</v>
      </c>
      <c r="F177" s="185">
        <f>D_og/2*1/4</f>
        <v>10.5</v>
      </c>
      <c r="G177" s="45">
        <f>D_og/2/2</f>
        <v>21</v>
      </c>
      <c r="H177" s="189">
        <f>D_og/2*0.7</f>
        <v>29.4</v>
      </c>
      <c r="K177" s="46"/>
    </row>
    <row r="178" spans="2:11" x14ac:dyDescent="0.2">
      <c r="B178" s="185" t="s">
        <v>75</v>
      </c>
      <c r="C178" s="46">
        <f>-Long_ogive/2</f>
        <v>-137.5</v>
      </c>
      <c r="D178" s="46">
        <f>IF(LEFT(Forme_ogive,5)="Parab",H178,IF(LEFT(Forme_ogive,4)="Ogiv",G178,IF(LEFT(Forme_ogive,3)="Con",F178)))</f>
        <v>21</v>
      </c>
      <c r="E178" s="199">
        <f t="shared" si="2"/>
        <v>-21</v>
      </c>
      <c r="F178" s="185">
        <f>D_og/2/2</f>
        <v>21</v>
      </c>
      <c r="G178" s="45">
        <f>D_og/2*3/4</f>
        <v>31.5</v>
      </c>
      <c r="H178" s="189">
        <f>D_og/2*0.88</f>
        <v>36.96</v>
      </c>
      <c r="K178" s="46"/>
    </row>
    <row r="179" spans="2:11" x14ac:dyDescent="0.2">
      <c r="B179" s="185" t="s">
        <v>75</v>
      </c>
      <c r="C179" s="46">
        <f>-Long_ogive*3/4</f>
        <v>-206.25</v>
      </c>
      <c r="D179" s="46">
        <f>IF(LEFT(Forme_ogive,5)="Parab",H179,IF(LEFT(Forme_ogive,4)="Ogiv",G179,IF(LEFT(Forme_ogive,3)="Con",F179)))</f>
        <v>31.5</v>
      </c>
      <c r="E179" s="199">
        <f t="shared" si="2"/>
        <v>-31.5</v>
      </c>
      <c r="F179" s="185">
        <f>D_og/2*3/4</f>
        <v>31.5</v>
      </c>
      <c r="G179" s="45">
        <f>D_og/2*0.9</f>
        <v>37.800000000000004</v>
      </c>
      <c r="H179" s="189">
        <f>D_og/2*0.95</f>
        <v>39.9</v>
      </c>
      <c r="K179" s="46"/>
    </row>
    <row r="180" spans="2:11" x14ac:dyDescent="0.2">
      <c r="B180" s="187" t="s">
        <v>75</v>
      </c>
      <c r="C180" s="200">
        <f>-Long_ogive</f>
        <v>-275</v>
      </c>
      <c r="D180" s="200">
        <f>D_og/2</f>
        <v>42</v>
      </c>
      <c r="E180" s="201">
        <f t="shared" si="2"/>
        <v>-42</v>
      </c>
      <c r="F180" s="187">
        <f>D_og/2</f>
        <v>42</v>
      </c>
      <c r="G180" s="196">
        <f>D_og/2</f>
        <v>42</v>
      </c>
      <c r="H180" s="190">
        <f>D_og/2</f>
        <v>42</v>
      </c>
      <c r="K180" s="26"/>
    </row>
    <row r="181" spans="2:11" x14ac:dyDescent="0.2">
      <c r="B181" s="45" t="s">
        <v>102</v>
      </c>
      <c r="C181" s="45" t="s">
        <v>103</v>
      </c>
      <c r="D181" s="183" t="s">
        <v>102</v>
      </c>
      <c r="E181" s="204" t="s">
        <v>103</v>
      </c>
      <c r="K181" s="45"/>
    </row>
    <row r="182" spans="2:11" x14ac:dyDescent="0.2">
      <c r="B182" s="183">
        <v>0</v>
      </c>
      <c r="C182" s="202">
        <f>CritCnmin</f>
        <v>15</v>
      </c>
      <c r="D182" s="185">
        <v>0.5</v>
      </c>
      <c r="E182" s="205">
        <f t="shared" ref="E182:E187" si="3">CritMsCnmin/D182</f>
        <v>80</v>
      </c>
      <c r="K182" s="45"/>
    </row>
    <row r="183" spans="2:11" x14ac:dyDescent="0.2">
      <c r="B183" s="187">
        <v>7</v>
      </c>
      <c r="C183" s="196">
        <f>CritCnmin</f>
        <v>15</v>
      </c>
      <c r="D183" s="185">
        <v>1</v>
      </c>
      <c r="E183" s="205">
        <f t="shared" si="3"/>
        <v>40</v>
      </c>
      <c r="K183" s="45"/>
    </row>
    <row r="184" spans="2:11" x14ac:dyDescent="0.2">
      <c r="B184" s="183">
        <v>0</v>
      </c>
      <c r="C184" s="202">
        <f>CritCnmax</f>
        <v>40</v>
      </c>
      <c r="D184" s="185">
        <v>2</v>
      </c>
      <c r="E184" s="205">
        <f t="shared" si="3"/>
        <v>20</v>
      </c>
      <c r="K184" s="45"/>
    </row>
    <row r="185" spans="2:11" x14ac:dyDescent="0.2">
      <c r="B185" s="187">
        <v>7</v>
      </c>
      <c r="C185" s="196">
        <f>CritCnmax</f>
        <v>40</v>
      </c>
      <c r="D185" s="185">
        <v>3</v>
      </c>
      <c r="E185" s="205">
        <f t="shared" si="3"/>
        <v>13.333333333333334</v>
      </c>
      <c r="K185" s="45"/>
    </row>
    <row r="186" spans="2:11" x14ac:dyDescent="0.2">
      <c r="B186" s="183">
        <f>CritMsmin</f>
        <v>2</v>
      </c>
      <c r="C186" s="202">
        <v>0</v>
      </c>
      <c r="D186" s="185">
        <v>5</v>
      </c>
      <c r="E186" s="205">
        <f t="shared" si="3"/>
        <v>8</v>
      </c>
      <c r="K186" s="45"/>
    </row>
    <row r="187" spans="2:11" x14ac:dyDescent="0.2">
      <c r="B187" s="187">
        <f>CritMsmin</f>
        <v>2</v>
      </c>
      <c r="C187" s="196">
        <v>55</v>
      </c>
      <c r="D187" s="185">
        <v>7</v>
      </c>
      <c r="E187" s="205">
        <f t="shared" si="3"/>
        <v>5.7142857142857144</v>
      </c>
      <c r="K187" s="45"/>
    </row>
    <row r="188" spans="2:11" x14ac:dyDescent="0.2">
      <c r="B188" s="183">
        <f>CritMsmax</f>
        <v>6</v>
      </c>
      <c r="C188" s="202">
        <v>0</v>
      </c>
      <c r="D188" s="185">
        <v>1</v>
      </c>
      <c r="E188" s="205">
        <f t="shared" ref="E188:E193" si="4">CritMsCnmax/D188</f>
        <v>100</v>
      </c>
      <c r="K188" s="45"/>
    </row>
    <row r="189" spans="2:11" x14ac:dyDescent="0.2">
      <c r="B189" s="187">
        <f>CritMsmax</f>
        <v>6</v>
      </c>
      <c r="C189" s="196">
        <v>55</v>
      </c>
      <c r="D189" s="185">
        <v>2</v>
      </c>
      <c r="E189" s="205">
        <f t="shared" si="4"/>
        <v>50</v>
      </c>
      <c r="K189" s="45"/>
    </row>
    <row r="190" spans="2:11" x14ac:dyDescent="0.2">
      <c r="B190" s="191">
        <f ca="1">MS_min</f>
        <v>1.6722271097381343</v>
      </c>
      <c r="C190" s="203">
        <f>Cn</f>
        <v>19.779152282887132</v>
      </c>
      <c r="D190" s="185">
        <v>3</v>
      </c>
      <c r="E190" s="205">
        <f t="shared" si="4"/>
        <v>33.333333333333336</v>
      </c>
      <c r="K190" s="45"/>
    </row>
    <row r="191" spans="2:11" x14ac:dyDescent="0.2">
      <c r="B191" s="514">
        <f ca="1">(XCp0-XcgPlein)/D_ref</f>
        <v>2.6299488065602556</v>
      </c>
      <c r="C191" s="515">
        <f>Cn0</f>
        <v>24.179884950375417</v>
      </c>
      <c r="D191" s="185">
        <v>4</v>
      </c>
      <c r="E191" s="205">
        <f t="shared" si="4"/>
        <v>25</v>
      </c>
      <c r="K191" s="45"/>
    </row>
    <row r="192" spans="2:11" x14ac:dyDescent="0.2">
      <c r="B192" s="514">
        <f ca="1">(XCp0-XcgVide)/D_ref</f>
        <v>3.4412190495062154</v>
      </c>
      <c r="C192" s="515">
        <f>Cn0</f>
        <v>24.179884950375417</v>
      </c>
      <c r="D192" s="185">
        <v>6</v>
      </c>
      <c r="E192" s="205">
        <f t="shared" si="4"/>
        <v>16.666666666666668</v>
      </c>
      <c r="K192" s="45"/>
    </row>
    <row r="193" spans="2:11" x14ac:dyDescent="0.2">
      <c r="B193" s="514">
        <f ca="1">(XCp-XcgVide)/D_ref</f>
        <v>2.4834973526840938</v>
      </c>
      <c r="C193" s="515">
        <f>Cn</f>
        <v>19.779152282887132</v>
      </c>
      <c r="D193" s="187">
        <v>7</v>
      </c>
      <c r="E193" s="206">
        <f t="shared" si="4"/>
        <v>14.285714285714286</v>
      </c>
      <c r="K193" s="45"/>
    </row>
    <row r="194" spans="2:11" x14ac:dyDescent="0.2">
      <c r="B194" s="514">
        <f ca="1">MS_min</f>
        <v>1.6722271097381343</v>
      </c>
      <c r="C194" s="516">
        <f>Cn</f>
        <v>19.779152282887132</v>
      </c>
      <c r="D194" s="45"/>
      <c r="E194" s="92"/>
      <c r="K194" s="45"/>
    </row>
    <row r="195" spans="2:11" x14ac:dyDescent="0.2">
      <c r="B195" s="183">
        <v>0</v>
      </c>
      <c r="C195" s="202">
        <f>(CritCnmin+CritCnmax)/2</f>
        <v>27.5</v>
      </c>
      <c r="D195" s="26"/>
      <c r="E195" s="90"/>
      <c r="K195" s="26"/>
    </row>
    <row r="196" spans="2:11" x14ac:dyDescent="0.2">
      <c r="B196" s="185">
        <f>MAX(CritMsmin,CritMsCnmin/C196)</f>
        <v>2</v>
      </c>
      <c r="C196" s="45">
        <f>(CritCnmin+CritCnmax)/2</f>
        <v>27.5</v>
      </c>
      <c r="D196" s="26"/>
      <c r="E196" s="90"/>
      <c r="K196" s="26"/>
    </row>
    <row r="197" spans="2:11" x14ac:dyDescent="0.2">
      <c r="B197" s="185">
        <f>MIN(CritMsmax,CritMsCnmax/C197)</f>
        <v>3.6363636363636362</v>
      </c>
      <c r="C197" s="189">
        <f>(CritCnmin+CritCnmax)/2</f>
        <v>27.5</v>
      </c>
    </row>
    <row r="198" spans="2:11" x14ac:dyDescent="0.2">
      <c r="B198" s="187">
        <v>7</v>
      </c>
      <c r="C198" s="190">
        <f>(CritCnmin+CritCnmax)/2</f>
        <v>27.5</v>
      </c>
    </row>
    <row r="199" spans="2:11" x14ac:dyDescent="0.2">
      <c r="B199" s="183">
        <f>(CritMsmin+CritMsmax)/2</f>
        <v>4</v>
      </c>
      <c r="C199" s="184">
        <v>0</v>
      </c>
    </row>
    <row r="200" spans="2:11" x14ac:dyDescent="0.2">
      <c r="B200" s="185">
        <f>(CritMsmin+CritMsmax)/2</f>
        <v>4</v>
      </c>
      <c r="C200" s="186">
        <f>MAX(CritCnmin,CritMsCnmin/B200)</f>
        <v>15</v>
      </c>
    </row>
    <row r="201" spans="2:11" x14ac:dyDescent="0.2">
      <c r="B201" s="185">
        <f>(CritMsmin+CritMsmax)/2</f>
        <v>4</v>
      </c>
      <c r="C201" s="186">
        <f>MIN(CritCnmax,CritMsCnmax/B201)</f>
        <v>25</v>
      </c>
    </row>
    <row r="202" spans="2:11" x14ac:dyDescent="0.2">
      <c r="B202" s="187">
        <f>(CritMsmin+CritMsmax)/2</f>
        <v>4</v>
      </c>
      <c r="C202" s="188">
        <v>55</v>
      </c>
    </row>
    <row r="203" spans="2:11" x14ac:dyDescent="0.2">
      <c r="D203" s="475"/>
    </row>
    <row r="204" spans="2:11" x14ac:dyDescent="0.2">
      <c r="B204" s="477" t="s">
        <v>411</v>
      </c>
      <c r="C204" s="31" t="b">
        <f ca="1">(OR(C205:C210))</f>
        <v>1</v>
      </c>
      <c r="D204" s="475"/>
    </row>
    <row r="205" spans="2:11" x14ac:dyDescent="0.2">
      <c r="B205" s="476" t="s">
        <v>408</v>
      </c>
      <c r="C205" s="475" t="b">
        <f ca="1">AND(Type_propu="H2O",RIGHT(Type_fusee,1)=" ")</f>
        <v>0</v>
      </c>
      <c r="D205" s="475"/>
    </row>
    <row r="206" spans="2:11" x14ac:dyDescent="0.2">
      <c r="B206" s="476" t="s">
        <v>121</v>
      </c>
      <c r="C206" s="475" t="b">
        <f ca="1">AND(Type_propu="Fusex",RIGHT(Type_fusee,1)=".")</f>
        <v>1</v>
      </c>
      <c r="D206" s="475"/>
    </row>
    <row r="207" spans="2:11" x14ac:dyDescent="0.2">
      <c r="B207" s="476" t="s">
        <v>409</v>
      </c>
      <c r="C207" s="475" t="b">
        <f ca="1">LEFT(Type_propu,5)=LEFT(Type_fusee,5)</f>
        <v>0</v>
      </c>
      <c r="D207" s="475"/>
    </row>
    <row r="208" spans="2:11" x14ac:dyDescent="0.2">
      <c r="B208" s="476" t="s">
        <v>410</v>
      </c>
      <c r="C208" s="475" t="b">
        <f ca="1">AND(RIGHT(Type_propu,1)="N",LEFT(Type_fusee,4)="Mini")</f>
        <v>0</v>
      </c>
      <c r="D208" s="475"/>
    </row>
    <row r="209" spans="1:3" x14ac:dyDescent="0.2">
      <c r="B209" s="476" t="s">
        <v>412</v>
      </c>
      <c r="C209" s="475" t="b">
        <f ca="1">AND(LEFT(Type_propu,5)="MiniR",LEFT(Type_fusee,1)="R")</f>
        <v>0</v>
      </c>
    </row>
    <row r="210" spans="1:3" x14ac:dyDescent="0.2">
      <c r="B210" s="476" t="s">
        <v>402</v>
      </c>
      <c r="C210" s="475" t="b">
        <f ca="1">AND(LEFT(Type_propu,4)="Mini",LEFT(Type_fusee,1)=",")</f>
        <v>0</v>
      </c>
    </row>
    <row r="223" spans="1:3" x14ac:dyDescent="0.2">
      <c r="A223" s="24" t="s">
        <v>469</v>
      </c>
    </row>
    <row r="226" spans="1:1" x14ac:dyDescent="0.2">
      <c r="A226" s="24" t="s">
        <v>482</v>
      </c>
    </row>
    <row r="228" spans="1:1" x14ac:dyDescent="0.2">
      <c r="A228" s="24" t="s">
        <v>483</v>
      </c>
    </row>
    <row r="230" spans="1:1" x14ac:dyDescent="0.2">
      <c r="A230" s="24" t="s">
        <v>484</v>
      </c>
    </row>
    <row r="232" spans="1:1" x14ac:dyDescent="0.2">
      <c r="A232" s="24" t="s">
        <v>485</v>
      </c>
    </row>
    <row r="233" spans="1:1" x14ac:dyDescent="0.2">
      <c r="A233" s="24" t="s">
        <v>486</v>
      </c>
    </row>
    <row r="234" spans="1:1" x14ac:dyDescent="0.2">
      <c r="A234" s="24" t="s">
        <v>487</v>
      </c>
    </row>
    <row r="235" spans="1:1" x14ac:dyDescent="0.2">
      <c r="A235" s="24" t="s">
        <v>488</v>
      </c>
    </row>
    <row r="236" spans="1:1" x14ac:dyDescent="0.2">
      <c r="A236" s="24" t="s">
        <v>489</v>
      </c>
    </row>
    <row r="237" spans="1:1" x14ac:dyDescent="0.2">
      <c r="A237" s="24" t="s">
        <v>490</v>
      </c>
    </row>
    <row r="238" spans="1:1" x14ac:dyDescent="0.2">
      <c r="A238" s="24" t="s">
        <v>188</v>
      </c>
    </row>
    <row r="239" spans="1:1" x14ac:dyDescent="0.2">
      <c r="A239" s="24" t="s">
        <v>491</v>
      </c>
    </row>
    <row r="240" spans="1:1" x14ac:dyDescent="0.2">
      <c r="A240" s="24" t="s">
        <v>492</v>
      </c>
    </row>
    <row r="241" spans="1:1" x14ac:dyDescent="0.2">
      <c r="A241" s="24" t="s">
        <v>188</v>
      </c>
    </row>
    <row r="242" spans="1:1" x14ac:dyDescent="0.2">
      <c r="A242" s="24" t="s">
        <v>493</v>
      </c>
    </row>
    <row r="244" spans="1:1" x14ac:dyDescent="0.2">
      <c r="A244" s="24" t="s">
        <v>494</v>
      </c>
    </row>
    <row r="246" spans="1:1" x14ac:dyDescent="0.2">
      <c r="A246" s="24" t="s">
        <v>495</v>
      </c>
    </row>
    <row r="248" spans="1:1" x14ac:dyDescent="0.2">
      <c r="A248" s="24" t="s">
        <v>496</v>
      </c>
    </row>
    <row r="249" spans="1:1" x14ac:dyDescent="0.2">
      <c r="A249" s="24" t="s">
        <v>497</v>
      </c>
    </row>
    <row r="250" spans="1:1" x14ac:dyDescent="0.2">
      <c r="A250" s="24" t="s">
        <v>498</v>
      </c>
    </row>
    <row r="251" spans="1:1" x14ac:dyDescent="0.2">
      <c r="A251" s="24" t="s">
        <v>499</v>
      </c>
    </row>
    <row r="252" spans="1:1" x14ac:dyDescent="0.2">
      <c r="A252" s="24" t="s">
        <v>500</v>
      </c>
    </row>
    <row r="254" spans="1:1" x14ac:dyDescent="0.2">
      <c r="A254" s="24" t="s">
        <v>501</v>
      </c>
    </row>
    <row r="255" spans="1:1" x14ac:dyDescent="0.2">
      <c r="A255" s="24" t="s">
        <v>502</v>
      </c>
    </row>
    <row r="256" spans="1:1" x14ac:dyDescent="0.2">
      <c r="A256" s="24" t="s">
        <v>503</v>
      </c>
    </row>
    <row r="257" spans="1:1" x14ac:dyDescent="0.2">
      <c r="A257" s="24" t="s">
        <v>504</v>
      </c>
    </row>
    <row r="258" spans="1:1" x14ac:dyDescent="0.2">
      <c r="A258" s="24" t="s">
        <v>505</v>
      </c>
    </row>
    <row r="261" spans="1:1" x14ac:dyDescent="0.2">
      <c r="A261" s="24" t="s">
        <v>506</v>
      </c>
    </row>
    <row r="262" spans="1:1" x14ac:dyDescent="0.2">
      <c r="A262" s="24" t="s">
        <v>507</v>
      </c>
    </row>
    <row r="263" spans="1:1" x14ac:dyDescent="0.2">
      <c r="A263" s="24" t="s">
        <v>508</v>
      </c>
    </row>
    <row r="264" spans="1:1" x14ac:dyDescent="0.2">
      <c r="A264" s="24" t="s">
        <v>509</v>
      </c>
    </row>
    <row r="265" spans="1:1" x14ac:dyDescent="0.2">
      <c r="A265" s="24" t="s">
        <v>510</v>
      </c>
    </row>
    <row r="267" spans="1:1" x14ac:dyDescent="0.2">
      <c r="A267" s="24" t="s">
        <v>503</v>
      </c>
    </row>
    <row r="268" spans="1:1" x14ac:dyDescent="0.2">
      <c r="A268" s="24" t="s">
        <v>504</v>
      </c>
    </row>
    <row r="269" spans="1:1" x14ac:dyDescent="0.2">
      <c r="A269" s="24" t="s">
        <v>511</v>
      </c>
    </row>
    <row r="272" spans="1:1" x14ac:dyDescent="0.2">
      <c r="A272" s="24" t="s">
        <v>471</v>
      </c>
    </row>
    <row r="273" spans="1:1" x14ac:dyDescent="0.2">
      <c r="A273" s="24" t="s">
        <v>472</v>
      </c>
    </row>
    <row r="275" spans="1:1" x14ac:dyDescent="0.2">
      <c r="A275" s="24" t="s">
        <v>512</v>
      </c>
    </row>
    <row r="277" spans="1:1" x14ac:dyDescent="0.2">
      <c r="A277" s="24" t="s">
        <v>511</v>
      </c>
    </row>
    <row r="280" spans="1:1" x14ac:dyDescent="0.2">
      <c r="A280" s="24" t="s">
        <v>473</v>
      </c>
    </row>
    <row r="281" spans="1:1" x14ac:dyDescent="0.2">
      <c r="A281" s="24" t="s">
        <v>474</v>
      </c>
    </row>
    <row r="282" spans="1:1" x14ac:dyDescent="0.2">
      <c r="A282" s="24" t="s">
        <v>513</v>
      </c>
    </row>
    <row r="283" spans="1:1" x14ac:dyDescent="0.2">
      <c r="A283" s="24" t="s">
        <v>514</v>
      </c>
    </row>
    <row r="284" spans="1:1" x14ac:dyDescent="0.2">
      <c r="A284" s="24" t="s">
        <v>511</v>
      </c>
    </row>
    <row r="285" spans="1:1" x14ac:dyDescent="0.2">
      <c r="A285" s="24" t="s">
        <v>475</v>
      </c>
    </row>
    <row r="287" spans="1:1" x14ac:dyDescent="0.2">
      <c r="A287" s="24" t="s">
        <v>515</v>
      </c>
    </row>
    <row r="288" spans="1:1" x14ac:dyDescent="0.2">
      <c r="A288" s="24" t="s">
        <v>513</v>
      </c>
    </row>
    <row r="289" spans="1:1" x14ac:dyDescent="0.2">
      <c r="A289" s="24" t="s">
        <v>516</v>
      </c>
    </row>
    <row r="291" spans="1:1" x14ac:dyDescent="0.2">
      <c r="A291" s="24" t="s">
        <v>511</v>
      </c>
    </row>
    <row r="294" spans="1:1" x14ac:dyDescent="0.2">
      <c r="A294" s="24" t="s">
        <v>517</v>
      </c>
    </row>
    <row r="295" spans="1:1" x14ac:dyDescent="0.2">
      <c r="A295" s="24" t="s">
        <v>518</v>
      </c>
    </row>
    <row r="296" spans="1:1" x14ac:dyDescent="0.2">
      <c r="A296" s="24" t="s">
        <v>519</v>
      </c>
    </row>
    <row r="298" spans="1:1" x14ac:dyDescent="0.2">
      <c r="A298" s="24" t="s">
        <v>511</v>
      </c>
    </row>
    <row r="301" spans="1:1" x14ac:dyDescent="0.2">
      <c r="A301" s="24" t="s">
        <v>520</v>
      </c>
    </row>
    <row r="302" spans="1:1" x14ac:dyDescent="0.2">
      <c r="A302" s="24" t="s">
        <v>521</v>
      </c>
    </row>
    <row r="304" spans="1:1" x14ac:dyDescent="0.2">
      <c r="A304" s="24" t="s">
        <v>522</v>
      </c>
    </row>
    <row r="305" spans="1:1" x14ac:dyDescent="0.2">
      <c r="A305" s="24" t="s">
        <v>523</v>
      </c>
    </row>
    <row r="306" spans="1:1" x14ac:dyDescent="0.2">
      <c r="A306" s="24" t="s">
        <v>511</v>
      </c>
    </row>
    <row r="309" spans="1:1" x14ac:dyDescent="0.2">
      <c r="A309" s="24" t="s">
        <v>520</v>
      </c>
    </row>
    <row r="310" spans="1:1" x14ac:dyDescent="0.2">
      <c r="A310" s="24" t="s">
        <v>524</v>
      </c>
    </row>
    <row r="311" spans="1:1" x14ac:dyDescent="0.2">
      <c r="A311" s="24" t="s">
        <v>520</v>
      </c>
    </row>
    <row r="312" spans="1:1" x14ac:dyDescent="0.2">
      <c r="A312" s="24" t="s">
        <v>525</v>
      </c>
    </row>
    <row r="314" spans="1:1" x14ac:dyDescent="0.2">
      <c r="A314" s="24" t="s">
        <v>526</v>
      </c>
    </row>
    <row r="316" spans="1:1" x14ac:dyDescent="0.2">
      <c r="A316" s="24" t="s">
        <v>511</v>
      </c>
    </row>
    <row r="319" spans="1:1" x14ac:dyDescent="0.2">
      <c r="A319" s="24" t="s">
        <v>520</v>
      </c>
    </row>
    <row r="320" spans="1:1" x14ac:dyDescent="0.2">
      <c r="A320" s="24" t="s">
        <v>527</v>
      </c>
    </row>
    <row r="321" spans="1:1" x14ac:dyDescent="0.2">
      <c r="A321" s="24" t="s">
        <v>528</v>
      </c>
    </row>
    <row r="322" spans="1:1" x14ac:dyDescent="0.2">
      <c r="A322" s="24" t="s">
        <v>529</v>
      </c>
    </row>
    <row r="324" spans="1:1" x14ac:dyDescent="0.2">
      <c r="A324" s="24" t="s">
        <v>511</v>
      </c>
    </row>
    <row r="326" spans="1:1" x14ac:dyDescent="0.2">
      <c r="A326" s="24" t="s">
        <v>470</v>
      </c>
    </row>
    <row r="329" spans="1:1" x14ac:dyDescent="0.2">
      <c r="A329" s="24" t="s">
        <v>476</v>
      </c>
    </row>
    <row r="330" spans="1:1" x14ac:dyDescent="0.2">
      <c r="A330" s="24" t="s">
        <v>477</v>
      </c>
    </row>
    <row r="331" spans="1:1" x14ac:dyDescent="0.2">
      <c r="A331" s="24" t="s">
        <v>530</v>
      </c>
    </row>
    <row r="332" spans="1:1" x14ac:dyDescent="0.2">
      <c r="A332" s="24" t="s">
        <v>531</v>
      </c>
    </row>
    <row r="333" spans="1:1" x14ac:dyDescent="0.2">
      <c r="A333" s="24" t="s">
        <v>532</v>
      </c>
    </row>
    <row r="334" spans="1:1" x14ac:dyDescent="0.2">
      <c r="A334" s="24" t="s">
        <v>533</v>
      </c>
    </row>
    <row r="335" spans="1:1" x14ac:dyDescent="0.2">
      <c r="A335" s="24" t="s">
        <v>534</v>
      </c>
    </row>
    <row r="336" spans="1:1" x14ac:dyDescent="0.2">
      <c r="A336" s="24" t="s">
        <v>487</v>
      </c>
    </row>
    <row r="337" spans="1:1" x14ac:dyDescent="0.2">
      <c r="A337" s="24" t="s">
        <v>478</v>
      </c>
    </row>
    <row r="340" spans="1:1" x14ac:dyDescent="0.2">
      <c r="A340" s="24" t="s">
        <v>479</v>
      </c>
    </row>
    <row r="342" spans="1:1" x14ac:dyDescent="0.2">
      <c r="A342" s="24" t="s">
        <v>535</v>
      </c>
    </row>
    <row r="343" spans="1:1" x14ac:dyDescent="0.2">
      <c r="A343" s="24" t="s">
        <v>536</v>
      </c>
    </row>
    <row r="344" spans="1:1" x14ac:dyDescent="0.2">
      <c r="A344" s="24" t="s">
        <v>537</v>
      </c>
    </row>
    <row r="345" spans="1:1" x14ac:dyDescent="0.2">
      <c r="A345" s="24" t="s">
        <v>538</v>
      </c>
    </row>
    <row r="346" spans="1:1" x14ac:dyDescent="0.2">
      <c r="A346" s="24" t="s">
        <v>539</v>
      </c>
    </row>
    <row r="347" spans="1:1" x14ac:dyDescent="0.2">
      <c r="A347" s="24" t="s">
        <v>487</v>
      </c>
    </row>
    <row r="348" spans="1:1" x14ac:dyDescent="0.2">
      <c r="A348" s="24" t="s">
        <v>480</v>
      </c>
    </row>
    <row r="349" spans="1:1" x14ac:dyDescent="0.2">
      <c r="A349" s="24" t="s">
        <v>540</v>
      </c>
    </row>
    <row r="350" spans="1:1" x14ac:dyDescent="0.2">
      <c r="A350" s="24" t="s">
        <v>541</v>
      </c>
    </row>
    <row r="352" spans="1:1" x14ac:dyDescent="0.2">
      <c r="A352" s="24" t="s">
        <v>511</v>
      </c>
    </row>
    <row r="355" spans="1:1" x14ac:dyDescent="0.2">
      <c r="A355" s="24" t="s">
        <v>470</v>
      </c>
    </row>
    <row r="361" spans="1:1" x14ac:dyDescent="0.2">
      <c r="A361" s="24" t="s">
        <v>481</v>
      </c>
    </row>
  </sheetData>
  <sheetProtection password="C6AC" sheet="1"/>
  <dataConsolidate/>
  <mergeCells count="56">
    <mergeCell ref="C5:D5"/>
    <mergeCell ref="H26:I26"/>
    <mergeCell ref="C16:D16"/>
    <mergeCell ref="C17:D17"/>
    <mergeCell ref="O21:P21"/>
    <mergeCell ref="M21:N21"/>
    <mergeCell ref="O19:P19"/>
    <mergeCell ref="O22:P22"/>
    <mergeCell ref="C20:D20"/>
    <mergeCell ref="C6:D6"/>
    <mergeCell ref="C14:D14"/>
    <mergeCell ref="C26:D26"/>
    <mergeCell ref="C19:D19"/>
    <mergeCell ref="O23:P23"/>
    <mergeCell ref="O24:P24"/>
    <mergeCell ref="C22:D22"/>
    <mergeCell ref="C2:D3"/>
    <mergeCell ref="C4:D4"/>
    <mergeCell ref="M22:N22"/>
    <mergeCell ref="M19:N19"/>
    <mergeCell ref="M9:N9"/>
    <mergeCell ref="M7:N7"/>
    <mergeCell ref="M8:N8"/>
    <mergeCell ref="C7:D7"/>
    <mergeCell ref="C10:D10"/>
    <mergeCell ref="C13:D13"/>
    <mergeCell ref="C8:D8"/>
    <mergeCell ref="C9:D9"/>
    <mergeCell ref="M20:N20"/>
    <mergeCell ref="N14:O14"/>
    <mergeCell ref="N15:O15"/>
    <mergeCell ref="C18:D18"/>
    <mergeCell ref="C21:D21"/>
    <mergeCell ref="C23:D23"/>
    <mergeCell ref="O20:P20"/>
    <mergeCell ref="M23:N23"/>
    <mergeCell ref="M24:N24"/>
    <mergeCell ref="M4:P4"/>
    <mergeCell ref="M2:P2"/>
    <mergeCell ref="N13:O13"/>
    <mergeCell ref="N12:O12"/>
    <mergeCell ref="O9:P9"/>
    <mergeCell ref="O8:P8"/>
    <mergeCell ref="O7:P7"/>
    <mergeCell ref="M5:N5"/>
    <mergeCell ref="M6:N6"/>
    <mergeCell ref="L3:M3"/>
    <mergeCell ref="N11:O11"/>
    <mergeCell ref="O6:P6"/>
    <mergeCell ref="O5:P5"/>
    <mergeCell ref="O17:P17"/>
    <mergeCell ref="O18:P18"/>
    <mergeCell ref="H33:I34"/>
    <mergeCell ref="H27:I27"/>
    <mergeCell ref="M18:N18"/>
    <mergeCell ref="M17:N17"/>
  </mergeCells>
  <phoneticPr fontId="8" type="noConversion"/>
  <conditionalFormatting sqref="B14:D14 B34:C34">
    <cfRule type="expression" dxfId="53" priority="36" stopIfTrue="1">
      <formula>AND(IF(RIGHT(Nb_diam,1)=",",1),IF(LEFT(Type_masquage,1)="M",1))</formula>
    </cfRule>
  </conditionalFormatting>
  <conditionalFormatting sqref="C11">
    <cfRule type="cellIs" dxfId="52" priority="24" stopIfTrue="1" operator="equal">
      <formula>549</formula>
    </cfRule>
    <cfRule type="expression" dxfId="51" priority="27" stopIfTrue="1">
      <formula>OR(MasseSans&lt;MpropuVide, MasseSans&gt;20*MpropuPlein)</formula>
    </cfRule>
  </conditionalFormatting>
  <conditionalFormatting sqref="C12">
    <cfRule type="cellIs" dxfId="50" priority="23" stopIfTrue="1" operator="equal">
      <formula>359</formula>
    </cfRule>
  </conditionalFormatting>
  <conditionalFormatting sqref="C17">
    <cfRule type="expression" dxfId="49" priority="150" stopIfTrue="1">
      <formula>C204</formula>
    </cfRule>
  </conditionalFormatting>
  <conditionalFormatting sqref="C27 C29">
    <cfRule type="cellIs" dxfId="48" priority="17" stopIfTrue="1" operator="equal">
      <formula>64</formula>
    </cfRule>
  </conditionalFormatting>
  <conditionalFormatting sqref="C28">
    <cfRule type="cellIs" dxfId="47" priority="18" stopIfTrue="1" operator="equal">
      <formula>39</formula>
    </cfRule>
  </conditionalFormatting>
  <conditionalFormatting sqref="C30">
    <cfRule type="cellIs" dxfId="46" priority="19" stopIfTrue="1" operator="equal">
      <formula>79</formula>
    </cfRule>
  </conditionalFormatting>
  <conditionalFormatting sqref="C13:D13">
    <cfRule type="cellIs" dxfId="45" priority="22" stopIfTrue="1" operator="equal">
      <formula>569</formula>
    </cfRule>
  </conditionalFormatting>
  <conditionalFormatting sqref="C22:D22">
    <cfRule type="cellIs" dxfId="44" priority="21" stopIfTrue="1" operator="equal">
      <formula>126</formula>
    </cfRule>
  </conditionalFormatting>
  <conditionalFormatting sqref="C23:D23">
    <cfRule type="cellIs" dxfId="43" priority="20" stopIfTrue="1" operator="equal">
      <formula>44</formula>
    </cfRule>
  </conditionalFormatting>
  <conditionalFormatting sqref="D17">
    <cfRule type="expression" dxfId="42" priority="10" stopIfTrue="1">
      <formula>D202</formula>
    </cfRule>
  </conditionalFormatting>
  <conditionalFormatting sqref="H28">
    <cfRule type="expression" dxfId="41" priority="46" stopIfTrue="1">
      <formula>OR(Cn&lt;CritCnmin,Cn&gt;CritCnmax)</formula>
    </cfRule>
  </conditionalFormatting>
  <conditionalFormatting sqref="H29">
    <cfRule type="expression" dxfId="40" priority="45" stopIfTrue="1">
      <formula>OR(MS_min&lt;CritMsmin,MS_min&gt;CritMsmax)</formula>
    </cfRule>
  </conditionalFormatting>
  <conditionalFormatting sqref="H30">
    <cfRule type="expression" dxfId="39" priority="43" stopIfTrue="1">
      <formula>OR(MS_Cn_min&lt;CritMsCnmin,MS_Cn_min&gt;CritMsCnmax)</formula>
    </cfRule>
  </conditionalFormatting>
  <conditionalFormatting sqref="H27:I27">
    <cfRule type="expression" dxfId="38" priority="47" stopIfTrue="1">
      <formula>OR(Finesse&lt;CritFinessemin,Finesse&gt;CritFinessemax)</formula>
    </cfRule>
  </conditionalFormatting>
  <conditionalFormatting sqref="H33:I34">
    <cfRule type="expression" dxfId="37" priority="50" stopIfTrue="1">
      <formula>$H$33="STABLE"</formula>
    </cfRule>
  </conditionalFormatting>
  <conditionalFormatting sqref="I28">
    <cfRule type="expression" dxfId="36" priority="5" stopIfTrue="1">
      <formula>OR(Cn0&lt;CritCnmin,Cn0&gt;CritCnmax)</formula>
    </cfRule>
  </conditionalFormatting>
  <conditionalFormatting sqref="I29">
    <cfRule type="expression" dxfId="35" priority="44" stopIfTrue="1">
      <formula>OR(MS_max&lt;CritMsmin,MS_max&gt;CritMsmax)</formula>
    </cfRule>
  </conditionalFormatting>
  <conditionalFormatting sqref="I30">
    <cfRule type="expression" dxfId="34" priority="42" stopIfTrue="1">
      <formula>OR(MS_Cn_max&lt;CritMsCnmin,MS_Cn_max&gt;CritMsCnmax)</formula>
    </cfRule>
  </conditionalFormatting>
  <conditionalFormatting sqref="L38:M38">
    <cfRule type="expression" dxfId="33" priority="232" stopIfTrue="1">
      <formula>OR(SUM($C$27:$C$32)=273, $H$33&lt;&gt;"STABLE")</formula>
    </cfRule>
  </conditionalFormatting>
  <conditionalFormatting sqref="L6:P9">
    <cfRule type="expression" dxfId="32" priority="48" stopIfTrue="1">
      <formula>IF(RIGHT(Nb_diam,1)=",",1)</formula>
    </cfRule>
  </conditionalFormatting>
  <conditionalFormatting sqref="L20:P22 D25:E25 D27:E34 B35:E35">
    <cfRule type="expression" dxfId="31" priority="83" stopIfTrue="1">
      <formula>IF(LEFT(Type_masquage,1)="M",1)</formula>
    </cfRule>
  </conditionalFormatting>
  <conditionalFormatting sqref="L23:P24">
    <cfRule type="expression" dxfId="30" priority="64" stopIfTrue="1">
      <formula>IF(RIGHT(Nb_diam,1)=",",1)</formula>
    </cfRule>
  </conditionalFormatting>
  <conditionalFormatting sqref="M36 O36">
    <cfRule type="expression" dxfId="29" priority="141" stopIfTrue="1">
      <formula>$M$36="propu NOK"</formula>
    </cfRule>
  </conditionalFormatting>
  <conditionalFormatting sqref="M5:P5">
    <cfRule type="expression" dxfId="28" priority="38" stopIfTrue="1">
      <formula>IF(RIGHT(Nb_diam,1)=",",1)</formula>
    </cfRule>
  </conditionalFormatting>
  <conditionalFormatting sqref="N36">
    <cfRule type="expression" dxfId="27" priority="26" stopIfTrue="1">
      <formula>ROUND(SUM(C2:P25)+SUM(C27:P35),0)=8637</formula>
    </cfRule>
  </conditionalFormatting>
  <dataValidations count="13">
    <dataValidation type="whole" allowBlank="1" showInputMessage="1" showErrorMessage="1" error="Tapez un entier entre 3 et 6." sqref="C32:D32" xr:uid="{0B6E2C9D-DAC5-F146-B9BD-078A6198BB9B}">
      <formula1>3</formula1>
      <formula2>6</formula2>
    </dataValidation>
    <dataValidation type="decimal" operator="notEqual" allowBlank="1" showInputMessage="1" showErrorMessage="1" error="Tapez uniquement la longueur, sans l'unité." sqref="C29:D29" xr:uid="{466736F9-CB69-4447-9EDD-D0315D406FD1}">
      <formula1>1E+100</formula1>
    </dataValidation>
    <dataValidation type="decimal" operator="greaterThanOrEqual" allowBlank="1" showInputMessage="1" showErrorMessage="1" error="Tapez uniquement la longueur, sans l'unité." sqref="C27:D28 C33:D34 C30:D31 M6:O9" xr:uid="{8F6CEE36-4894-FB43-BAA1-BDB860438BF5}">
      <formula1>0</formula1>
    </dataValidation>
    <dataValidation type="list" showInputMessage="1" showErrorMessage="1" sqref="C26:D26" xr:uid="{79D1D883-6729-D043-8B70-93426D38A3A1}">
      <formula1>Menu_Empennage</formula1>
    </dataValidation>
    <dataValidation type="list" showInputMessage="1" showErrorMessage="1" sqref="C17:D17" xr:uid="{C63DA15E-96B4-A44F-8AF7-1574288C1661}">
      <formula1>Liste_propu</formula1>
    </dataValidation>
    <dataValidation type="list" showInputMessage="1" showErrorMessage="1" sqref="M2" xr:uid="{365CF203-40E6-744C-B3E9-43668F4942EE}">
      <formula1>Menu_Lang</formula1>
    </dataValidation>
    <dataValidation type="decimal" showInputMessage="1" showErrorMessage="1" errorTitle="Masse de la Fusée" error="Tapez uniquement la masse, sans l'unité." sqref="C11" xr:uid="{61B5E42E-8481-E14A-A642-4ECD3B562EE6}">
      <formula1>0</formula1>
      <formula2>50000</formula2>
    </dataValidation>
    <dataValidation type="decimal" operator="greaterThan" showInputMessage="1" showErrorMessage="1" error="Tapez uniquement la longueur, sans l'unité." sqref="C12 C13:D13 C22:D23" xr:uid="{57773C4F-9C6C-8548-9F34-C74B73D21C1D}">
      <formula1>0</formula1>
    </dataValidation>
    <dataValidation type="list" showInputMessage="1" showErrorMessage="1" sqref="D11:D12" xr:uid="{594D8E20-D917-4244-8111-797409E591CB}">
      <formula1>Menu_with_motor</formula1>
    </dataValidation>
    <dataValidation type="list" showInputMessage="1" showErrorMessage="1" sqref="C10:D10" xr:uid="{EAE9CC7C-DBFB-7043-A5F9-0E2131E02B4D}">
      <formula1>Menu_Type</formula1>
    </dataValidation>
    <dataValidation type="decimal" operator="greaterThan" allowBlank="1" showInputMessage="1" showErrorMessage="1" error="Tapez uniquement la longueur, sans l'unité." sqref="C18" xr:uid="{D63BB950-CD20-104E-9239-4D42BF9046BC}">
      <formula1>0</formula1>
    </dataValidation>
    <dataValidation type="list" showInputMessage="1" showErrorMessage="1" sqref="C21:D21" xr:uid="{EE8348D6-8911-EB45-BB9E-531C86D5E490}">
      <formula1>Menu_Ogive</formula1>
    </dataValidation>
    <dataValidation type="list" showInputMessage="1" showErrorMessage="1" sqref="M4" xr:uid="{89162CE9-2114-154B-ADF4-DDF8347A12C1}">
      <formula1>Menu_Transitions</formula1>
    </dataValidation>
  </dataValidations>
  <hyperlinks>
    <hyperlink ref="M38" location="Trajecto!C25" display="Trajecto" xr:uid="{5ED66539-BC16-E54D-8A5C-2CC7C3C4040F}"/>
  </hyperlinks>
  <printOptions horizontalCentered="1" verticalCentered="1"/>
  <pageMargins left="7.874015748031496E-2" right="7.874015748031496E-2" top="7.874015748031496E-2" bottom="7.874015748031496E-2" header="0" footer="0"/>
  <pageSetup paperSize="9" orientation="landscape" horizontalDpi="200" verticalDpi="2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775" r:id="rId3" name="Spinner 935">
              <controlPr defaultSize="0" print="0" autoPict="0">
                <anchor moveWithCells="1" sizeWithCells="1">
                  <from>
                    <xdr:col>3</xdr:col>
                    <xdr:colOff>809625</xdr:colOff>
                    <xdr:row>21</xdr:row>
                    <xdr:rowOff>9525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1" r:id="rId4" name="Spinner 941">
              <controlPr defaultSize="0" print="0" autoPict="0">
                <anchor moveWithCells="1" sizeWithCells="1">
                  <from>
                    <xdr:col>2</xdr:col>
                    <xdr:colOff>809625</xdr:colOff>
                    <xdr:row>10</xdr:row>
                    <xdr:rowOff>9525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2" r:id="rId5" name="Spinner 942">
              <controlPr defaultSize="0" print="0" autoPict="0">
                <anchor moveWithCells="1" sizeWithCells="1">
                  <from>
                    <xdr:col>2</xdr:col>
                    <xdr:colOff>809625</xdr:colOff>
                    <xdr:row>11</xdr:row>
                    <xdr:rowOff>9525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3" r:id="rId6" name="Spinner 943">
              <controlPr defaultSize="0" print="0" autoPict="0">
                <anchor moveWithCells="1" sizeWithCells="1">
                  <from>
                    <xdr:col>3</xdr:col>
                    <xdr:colOff>809625</xdr:colOff>
                    <xdr:row>22</xdr:row>
                    <xdr:rowOff>9525</xdr:rowOff>
                  </from>
                  <to>
                    <xdr:col>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89" r:id="rId7" name="Spinner 949">
              <controlPr defaultSize="0" print="0" autoPict="0">
                <anchor moveWithCells="1" sizeWithCells="1">
                  <from>
                    <xdr:col>2</xdr:col>
                    <xdr:colOff>809625</xdr:colOff>
                    <xdr:row>26</xdr:row>
                    <xdr:rowOff>9525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5" r:id="rId8" name="Spinner 955">
              <controlPr defaultSize="0" print="0" autoPict="0">
                <anchor moveWithCells="1" sizeWithCells="1">
                  <from>
                    <xdr:col>2</xdr:col>
                    <xdr:colOff>809625</xdr:colOff>
                    <xdr:row>27</xdr:row>
                    <xdr:rowOff>9525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6" r:id="rId9" name="Spinner 956">
              <controlPr defaultSize="0" print="0" autoPict="0">
                <anchor moveWithCells="1" sizeWithCells="1">
                  <from>
                    <xdr:col>2</xdr:col>
                    <xdr:colOff>809625</xdr:colOff>
                    <xdr:row>28</xdr:row>
                    <xdr:rowOff>9525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7" r:id="rId10" name="Spinner 957">
              <controlPr defaultSize="0" print="0" autoPict="0">
                <anchor moveWithCells="1" sizeWithCells="1">
                  <from>
                    <xdr:col>2</xdr:col>
                    <xdr:colOff>809625</xdr:colOff>
                    <xdr:row>29</xdr:row>
                    <xdr:rowOff>9525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8" r:id="rId11" name="Spinner 958">
              <controlPr defaultSize="0" print="0" autoPict="0">
                <anchor moveWithCells="1" sizeWithCells="1">
                  <from>
                    <xdr:col>2</xdr:col>
                    <xdr:colOff>809625</xdr:colOff>
                    <xdr:row>30</xdr:row>
                    <xdr:rowOff>9525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799" r:id="rId12" name="Spinner 959">
              <controlPr defaultSize="0" print="0" autoPict="0">
                <anchor moveWithCells="1" sizeWithCells="1">
                  <from>
                    <xdr:col>2</xdr:col>
                    <xdr:colOff>809625</xdr:colOff>
                    <xdr:row>31</xdr:row>
                    <xdr:rowOff>9525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01" r:id="rId13" name="Spinner 961">
              <controlPr defaultSize="0" print="0" autoPict="0">
                <anchor moveWithCells="1" sizeWithCells="1">
                  <from>
                    <xdr:col>3</xdr:col>
                    <xdr:colOff>809625</xdr:colOff>
                    <xdr:row>12</xdr:row>
                    <xdr:rowOff>9525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1" r:id="rId14" name="Spinner 3315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96692" r:id="rId15" name="Spinner 3316">
              <controlPr defaultSize="0" print="0" autoPict="0">
                <anchor moveWithCells="1" sizeWithCells="1">
                  <from>
                    <xdr:col>19</xdr:col>
                    <xdr:colOff>0</xdr:colOff>
                    <xdr:row>35</xdr:row>
                    <xdr:rowOff>9525</xdr:rowOff>
                  </from>
                  <to>
                    <xdr:col>19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EC23-8FF4-4845-884D-BFFCC7C46FA3}">
  <sheetPr codeName="Feuil1">
    <pageSetUpPr fitToPage="1"/>
  </sheetPr>
  <dimension ref="A1:R199"/>
  <sheetViews>
    <sheetView showGridLines="0" zoomScale="85" zoomScaleNormal="85" workbookViewId="0">
      <selection activeCell="D27" sqref="D27"/>
    </sheetView>
  </sheetViews>
  <sheetFormatPr baseColWidth="10" defaultColWidth="11.28515625" defaultRowHeight="12.75" x14ac:dyDescent="0.2"/>
  <cols>
    <col min="1" max="1" width="2.140625" style="1" customWidth="1"/>
    <col min="2" max="2" width="16.28515625" style="1" customWidth="1"/>
    <col min="3" max="4" width="11.28515625" style="1"/>
    <col min="5" max="5" width="2.7109375" style="1" customWidth="1"/>
    <col min="6" max="7" width="12.85546875" style="1" customWidth="1"/>
    <col min="8" max="13" width="10.7109375" style="1" customWidth="1"/>
    <col min="14" max="15" width="2.140625" style="1" customWidth="1"/>
    <col min="16" max="17" width="14.28515625" style="1" customWidth="1"/>
    <col min="18" max="16384" width="11.28515625" style="1"/>
  </cols>
  <sheetData>
    <row r="1" spans="1:14" x14ac:dyDescent="0.2">
      <c r="A1" s="51"/>
      <c r="B1" s="52"/>
      <c r="C1" s="53"/>
      <c r="D1" s="52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4" ht="12.75" customHeight="1" x14ac:dyDescent="0.2">
      <c r="A2" s="56"/>
      <c r="B2" s="2"/>
      <c r="C2" s="591" t="s">
        <v>0</v>
      </c>
      <c r="D2" s="591"/>
      <c r="F2" s="3"/>
      <c r="J2" s="4"/>
      <c r="N2" s="57"/>
    </row>
    <row r="3" spans="1:14" ht="12.75" customHeight="1" x14ac:dyDescent="0.2">
      <c r="A3" s="56"/>
      <c r="B3" s="2"/>
      <c r="C3" s="591"/>
      <c r="D3" s="591"/>
      <c r="H3" s="5"/>
      <c r="J3" s="4"/>
      <c r="N3" s="57"/>
    </row>
    <row r="4" spans="1:14" ht="12.75" customHeight="1" x14ac:dyDescent="0.2">
      <c r="A4" s="56"/>
      <c r="B4" s="2"/>
      <c r="C4" s="595" t="str">
        <f>IF(Lang="Français","Trajectographie de fusée",IF(Lang="English","Rocket Trajectography",""))</f>
        <v>Trajectographie de fusée</v>
      </c>
      <c r="D4" s="595"/>
      <c r="H4" s="5"/>
      <c r="J4" s="4"/>
      <c r="N4" s="57"/>
    </row>
    <row r="5" spans="1:14" ht="12.75" customHeight="1" x14ac:dyDescent="0.2">
      <c r="A5" s="56"/>
      <c r="B5" s="2"/>
      <c r="J5" s="4"/>
      <c r="N5" s="57"/>
    </row>
    <row r="6" spans="1:14" ht="12.95" customHeight="1" x14ac:dyDescent="0.2">
      <c r="A6" s="56"/>
      <c r="B6" s="87"/>
      <c r="C6" s="594" t="str">
        <f>IF(Lang="Français","Remplir les cases jaunes",IF(Lang="English","Fill-in yellow cells only",""))</f>
        <v>Remplir les cases jaunes</v>
      </c>
      <c r="D6" s="594"/>
      <c r="J6" s="4"/>
      <c r="N6" s="57"/>
    </row>
    <row r="7" spans="1:14" x14ac:dyDescent="0.2">
      <c r="A7" s="56"/>
      <c r="B7" s="6"/>
      <c r="C7" s="592" t="str">
        <f>IF(Lang="Français","Fusée",IF(Lang="English","Rocket",""))</f>
        <v>Fusée</v>
      </c>
      <c r="D7" s="592"/>
      <c r="N7" s="58"/>
    </row>
    <row r="8" spans="1:14" ht="12.75" customHeight="1" x14ac:dyDescent="0.25">
      <c r="A8" s="56"/>
      <c r="B8" s="140" t="str">
        <f>IF(Lang="Français","Nom",IF(Lang="English","Name",""))</f>
        <v>Nom</v>
      </c>
      <c r="C8" s="593" t="str">
        <f>Nom</f>
        <v>Ma fusée</v>
      </c>
      <c r="D8" s="593"/>
      <c r="E8" s="5"/>
      <c r="F8" s="5"/>
      <c r="J8" s="4"/>
      <c r="N8" s="57"/>
    </row>
    <row r="9" spans="1:14" ht="12.75" customHeight="1" x14ac:dyDescent="0.25">
      <c r="A9" s="59"/>
      <c r="B9" s="140" t="s">
        <v>4</v>
      </c>
      <c r="C9" s="593" t="str">
        <f>Club</f>
        <v>Mon club</v>
      </c>
      <c r="D9" s="593"/>
      <c r="F9" s="5"/>
      <c r="N9" s="58"/>
    </row>
    <row r="10" spans="1:14" ht="12.75" customHeight="1" x14ac:dyDescent="0.2">
      <c r="A10" s="59"/>
      <c r="B10" s="140" t="str">
        <f>IF(Lang="Français","Masse totale",IF(Lang="English","Total Mass",""))</f>
        <v>Masse totale</v>
      </c>
      <c r="C10" s="617">
        <f ca="1">MassePlein</f>
        <v>8.5150000000000006</v>
      </c>
      <c r="D10" s="617"/>
      <c r="F10" s="5"/>
      <c r="N10" s="58"/>
    </row>
    <row r="11" spans="1:14" ht="12.75" customHeight="1" x14ac:dyDescent="0.2">
      <c r="A11" s="59"/>
      <c r="B11" s="227" t="str">
        <f>IF(Lang="Français","Propulseur",IF(Lang="English","Motor",""))</f>
        <v>Propulseur</v>
      </c>
      <c r="C11" s="620" t="str">
        <f>Propu</f>
        <v>Barasinga (Pro54-5G)</v>
      </c>
      <c r="D11" s="621"/>
      <c r="F11" s="5"/>
      <c r="N11" s="58"/>
    </row>
    <row r="12" spans="1:14" ht="12.75" customHeight="1" x14ac:dyDescent="0.2">
      <c r="A12" s="59"/>
      <c r="F12" s="5"/>
      <c r="N12" s="58"/>
    </row>
    <row r="13" spans="1:14" ht="12.75" customHeight="1" x14ac:dyDescent="0.2">
      <c r="A13" s="59"/>
      <c r="B13"/>
      <c r="C13" s="592" t="str">
        <f>IF(Lang="Français","Traînée Aérdynamique",IF(Lang="English","Drag",""))</f>
        <v>Traînée Aérdynamique</v>
      </c>
      <c r="D13" s="592"/>
      <c r="N13" s="58"/>
    </row>
    <row r="14" spans="1:14" ht="12.75" customHeight="1" x14ac:dyDescent="0.2">
      <c r="A14" s="59"/>
      <c r="B14" s="140" t="s">
        <v>41</v>
      </c>
      <c r="C14" s="622">
        <f>(PI()*D_ref^2/4+E_ail*ep_ail*Q_ail)/10^6</f>
        <v>1.0574866535306801E-2</v>
      </c>
      <c r="D14" s="622"/>
      <c r="N14" s="58"/>
    </row>
    <row r="15" spans="1:14" ht="12.75" customHeight="1" x14ac:dyDescent="0.2">
      <c r="A15" s="59"/>
      <c r="B15" s="141" t="s">
        <v>5</v>
      </c>
      <c r="C15" s="615">
        <v>0.5</v>
      </c>
      <c r="D15" s="616"/>
      <c r="N15" s="58"/>
    </row>
    <row r="16" spans="1:14" ht="12.75" customHeight="1" x14ac:dyDescent="0.2">
      <c r="A16" s="59"/>
      <c r="N16" s="58"/>
    </row>
    <row r="17" spans="1:18" ht="12.75" customHeight="1" x14ac:dyDescent="0.2">
      <c r="A17" s="59"/>
      <c r="B17"/>
      <c r="C17" s="592" t="str">
        <f>IF(Lang="Français","Rampe de Lancement",IF(Lang="English","Launch Pad",""))</f>
        <v>Rampe de Lancement</v>
      </c>
      <c r="D17" s="592"/>
      <c r="N17" s="58"/>
    </row>
    <row r="18" spans="1:18" ht="12.75" customHeight="1" x14ac:dyDescent="0.2">
      <c r="A18" s="59"/>
      <c r="B18" s="140" t="str">
        <f>IF(Lang="Français","Longueur",IF(Lang="English","Length",""))</f>
        <v>Longueur</v>
      </c>
      <c r="C18" s="619">
        <f>IF(RIGHT(Type_fusee,1)=".",4, IF(LEFT(Type_fusee,4)="Mini",2.5, IF(LEFT(Type_fusee,5)="Micro",1, IF(RIGHT(Type_fusee,1)=" ",0.1,IF(LEFT(Type_fusee,1)="R",3, 2.5)))))</f>
        <v>4</v>
      </c>
      <c r="D18" s="619"/>
      <c r="N18" s="58"/>
    </row>
    <row r="19" spans="1:18" ht="12.75" customHeight="1" x14ac:dyDescent="0.2">
      <c r="A19" s="59"/>
      <c r="B19" s="140" t="str">
        <f>IF(Lang="Français","Élévation",IF(Lang="English","Angle /horizon",""))</f>
        <v>Élévation</v>
      </c>
      <c r="C19" s="618">
        <v>85</v>
      </c>
      <c r="D19" s="618"/>
      <c r="N19" s="58"/>
    </row>
    <row r="20" spans="1:18" ht="12.75" customHeight="1" x14ac:dyDescent="0.2">
      <c r="A20" s="59"/>
      <c r="B20" s="140" t="s">
        <v>6</v>
      </c>
      <c r="C20" s="619">
        <v>0</v>
      </c>
      <c r="D20" s="619"/>
      <c r="N20" s="58"/>
    </row>
    <row r="21" spans="1:18" ht="12.75" customHeight="1" x14ac:dyDescent="0.2">
      <c r="A21" s="59"/>
      <c r="F21" s="384" t="str">
        <f ca="1">IF( OR( AND(Vsortie_de_rampe&lt;18, RIGHT(Type_fusee,1)=";"), AND(Vsortie_de_rampe&lt;20, RIGHT(Type_fusee,1)=".")), IF(Lang="Français","Vitesse en Sortie de Rampe trop faible, alléger la fusée ou choisir un propu plus puissant.","Speed at Launch Pad Exit too low, lighten the rocket or choose a bigger motor."), "")</f>
        <v/>
      </c>
      <c r="N21" s="58"/>
    </row>
    <row r="22" spans="1:18" x14ac:dyDescent="0.2">
      <c r="A22" s="59"/>
      <c r="C22" s="605" t="str">
        <f>IF(Lang="Français","DescenteSousParachute",IF(Lang="English","Over Parachute",""))</f>
        <v>DescenteSousParachute</v>
      </c>
      <c r="D22" s="606"/>
      <c r="F22" s="4"/>
      <c r="G22" s="50">
        <f ca="1">TODAY()</f>
        <v>45883</v>
      </c>
      <c r="H22" s="491" t="str">
        <f>IF(Lang="Français","Temps",IF(Lang="English","Time",""))</f>
        <v>Temps</v>
      </c>
      <c r="I22" s="491" t="s">
        <v>12</v>
      </c>
      <c r="J22" s="491" t="str">
        <f>IF(Lang="Français","Portée x",IF(Lang="English","Range x",""))</f>
        <v>Portée x</v>
      </c>
      <c r="K22" s="491" t="str">
        <f>IF(Lang="Français","Vitesse",IF(Lang="English","Velocity",""))</f>
        <v>Vitesse</v>
      </c>
      <c r="L22" s="492" t="s">
        <v>13</v>
      </c>
      <c r="M22" s="501" t="s">
        <v>427</v>
      </c>
      <c r="N22" s="58"/>
    </row>
    <row r="23" spans="1:18" x14ac:dyDescent="0.2">
      <c r="A23" s="59"/>
      <c r="B23"/>
      <c r="C23" s="142" t="str">
        <f>C7</f>
        <v>Fusée</v>
      </c>
      <c r="D23" s="220" t="s">
        <v>124</v>
      </c>
      <c r="F23" s="607" t="str">
        <f>IF(Lang="Français","Sortie de Rampe",IF(Lang="English","Launch-Pad Exit",""))</f>
        <v>Sortie de Rampe</v>
      </c>
      <c r="G23" s="608"/>
      <c r="H23" s="493"/>
      <c r="I23" s="493"/>
      <c r="J23" s="493"/>
      <c r="K23" s="494">
        <f ca="1">INDEX(vit_xz,MATCH("Sortie de rampe",Event,0))</f>
        <v>26.218681291030229</v>
      </c>
      <c r="L23" s="495"/>
      <c r="M23" s="502"/>
      <c r="N23" s="58"/>
    </row>
    <row r="24" spans="1:18" x14ac:dyDescent="0.2">
      <c r="A24" s="59"/>
      <c r="B24" s="466" t="str">
        <f>IF(Lang="Français","Masse",IF(Lang="English","Mass",""))</f>
        <v>Masse</v>
      </c>
      <c r="C24" s="467">
        <f ca="1">IF(Nb_sat="0 satellite",MasseVide,MasseVide-m_satellite)</f>
        <v>6.4820000000000002</v>
      </c>
      <c r="D24" s="482">
        <f>IF(RIGHT(Type_fusee,1)=".",1,0.15)</f>
        <v>1</v>
      </c>
      <c r="E24" s="18" t="str">
        <f>IF(ABS(T_satellite-0.11-T_para)&lt;0.1,"Pb!","")</f>
        <v/>
      </c>
      <c r="F24" s="611" t="str">
        <f>IF(Lang="Français","Vit max &amp; Acc max",IF(Lang="English","Max Velocity &amp; Acc",""))</f>
        <v>Vit max &amp; Acc max</v>
      </c>
      <c r="G24" s="612"/>
      <c r="H24" s="115"/>
      <c r="I24" s="115"/>
      <c r="J24" s="115"/>
      <c r="K24" s="158">
        <f ca="1">MAX(vit_xz)</f>
        <v>198.0242844540212</v>
      </c>
      <c r="L24" s="496">
        <f ca="1">MAX(acc_xz)</f>
        <v>95.168630123741679</v>
      </c>
      <c r="M24" s="502"/>
      <c r="N24" s="58"/>
    </row>
    <row r="25" spans="1:18" x14ac:dyDescent="0.2">
      <c r="A25" s="59"/>
      <c r="B25" s="470" t="str">
        <f>IF(Lang="Français","Dépotage",IF(Lang="English","Delay",""))</f>
        <v>Dépotage</v>
      </c>
      <c r="C25" s="507" t="s">
        <v>548</v>
      </c>
      <c r="D25" s="481"/>
      <c r="F25" s="613" t="str">
        <f>IF(Lang="Français","Largage du satellite",IF(Lang="English","Satellite separation",""))</f>
        <v>Largage du satellite</v>
      </c>
      <c r="G25" s="614"/>
      <c r="H25" s="152">
        <f>IF(T_satellite&lt;&gt;0,T_satellite,"")</f>
        <v>6.6</v>
      </c>
      <c r="I25" s="156">
        <f ca="1">IF(T_satellite&lt;&gt;0,INDEX(pos_z,MATCH("Satellite",Event_sat,0)),"")</f>
        <v>930.50427764544861</v>
      </c>
      <c r="J25" s="154">
        <f ca="1">IF(T_satellite&lt;&gt;0,INDEX(pos_x,MATCH("Satellite",Event_sat,0)),"")</f>
        <v>111.03940378853518</v>
      </c>
      <c r="K25" s="159">
        <f ca="1">IF(T_satellite&lt;&gt;0,INDEX(vit_xz,MATCH("Satellite",Event_sat,0)),"")</f>
        <v>132.15440675537548</v>
      </c>
      <c r="L25" s="497"/>
      <c r="M25" s="487">
        <f ca="1">1/2*Rho_moyen*1*V_ouv_sat^2*S_satellite</f>
        <v>1069.7182175229955</v>
      </c>
      <c r="N25" s="58"/>
    </row>
    <row r="26" spans="1:18" x14ac:dyDescent="0.2">
      <c r="A26" s="59"/>
      <c r="B26" s="468" t="str">
        <f>IF(Lang="Français","Ouverture para",IF(Lang="English","Opening time",""))</f>
        <v>Ouverture para</v>
      </c>
      <c r="C26" s="509">
        <v>17</v>
      </c>
      <c r="D26" s="469">
        <v>6.6</v>
      </c>
      <c r="F26" s="611" t="s">
        <v>15</v>
      </c>
      <c r="G26" s="612"/>
      <c r="H26" s="153">
        <f ca="1">INDEX(t,MATCH("Apogée",Event,0))</f>
        <v>17.699999999999939</v>
      </c>
      <c r="I26" s="157">
        <f ca="1">INDEX(pos_z,MATCH("Apogée",Event,0))</f>
        <v>1592.8848656773607</v>
      </c>
      <c r="J26" s="155">
        <f ca="1">INDEX(pos_x,MATCH("Apogée",Event,0))</f>
        <v>284.89054070065004</v>
      </c>
      <c r="K26" s="160">
        <f ca="1">INDEX(vit_xz,MATCH("Apogée",Event,0))</f>
        <v>14.265548444005162</v>
      </c>
      <c r="L26" s="498"/>
      <c r="M26" s="502"/>
      <c r="N26" s="58"/>
    </row>
    <row r="27" spans="1:18" x14ac:dyDescent="0.2">
      <c r="A27" s="59"/>
      <c r="B27" s="141" t="s">
        <v>9</v>
      </c>
      <c r="C27" s="225">
        <f>S_para_croix</f>
        <v>1.5070049999999999</v>
      </c>
      <c r="D27" s="17">
        <f>IF(RIGHT(Type_fusee,1)=".",0.1,0.02)</f>
        <v>0.1</v>
      </c>
      <c r="F27" s="609" t="str">
        <f>IF(Lang="Français","Ouverture parachute fusée",IF(Lang="English","Rocket parachute opening",""))</f>
        <v>Ouverture parachute fusée</v>
      </c>
      <c r="G27" s="610"/>
      <c r="H27" s="152">
        <f>T_para</f>
        <v>17</v>
      </c>
      <c r="I27" s="156">
        <f ca="1">INDEX(pos_z,MATCH("Para",Event_para,0))</f>
        <v>1590.400085181604</v>
      </c>
      <c r="J27" s="488">
        <f ca="1">INDEX(pos_x,MATCH("Para",Event_para,0))</f>
        <v>274.8860136227521</v>
      </c>
      <c r="K27" s="159">
        <f ca="1">INDEX(vit_xz,MATCH("Para",Event_para,0))</f>
        <v>15.936861194995005</v>
      </c>
      <c r="L27" s="497"/>
      <c r="M27" s="487">
        <f ca="1">1/2*Rho_moyen*1*V_ouverture^2*S_para</f>
        <v>234.4371140104341</v>
      </c>
      <c r="N27" s="58"/>
      <c r="P27" s="384" t="str">
        <f ca="1">IF(V_para&lt;5, IF(Lang="Français","Parachute fusée trop grand !","Parachute too big!"), IF( V_para&gt;15, IF(Lang="Français","Parachute fusée trop petit !","Parachute too small!"), ""))</f>
        <v/>
      </c>
      <c r="R27" s="384" t="str">
        <f>IF(AND(Nb_sat="1 satellite", OR(V_satellite&lt;5)), IF(Lang="Français","Parachute satéllite trop grand !","Parachute too big"), IF(AND(Nb_sat="1 satellite",OR(V_satellite&gt;15)), IF(Lang="Français","Parachute satéllite trop petit !","Parachute too small!"), ""))</f>
        <v/>
      </c>
    </row>
    <row r="28" spans="1:18" x14ac:dyDescent="0.2">
      <c r="A28" s="59"/>
      <c r="B28" s="141" t="s">
        <v>10</v>
      </c>
      <c r="C28" s="143">
        <v>1</v>
      </c>
      <c r="D28" s="143">
        <v>1</v>
      </c>
      <c r="F28" s="598" t="str">
        <f>IF(Lang="Français","Impact balistique",IF(Lang="English","Balistic Impact",""))</f>
        <v>Impact balistique</v>
      </c>
      <c r="G28" s="599"/>
      <c r="H28" s="499">
        <f ca="1">INDEX(t,MATCH("Impact balistique",Event,0))</f>
        <v>37.700000000000223</v>
      </c>
      <c r="I28" s="519" t="s">
        <v>434</v>
      </c>
      <c r="J28" s="489">
        <f ca="1">INDEX(pos_x,MATCH("Impact balistique",Event,0))</f>
        <v>515.22511340180665</v>
      </c>
      <c r="K28" s="503">
        <f ca="1">K45</f>
        <v>132.08789135343434</v>
      </c>
      <c r="L28" s="500"/>
      <c r="M28" s="504">
        <f ca="1">0.5*m_vide*K28^2</f>
        <v>56546.410987759424</v>
      </c>
      <c r="N28" s="58"/>
      <c r="P28" s="384" t="str">
        <f ca="1">IF( OR( V_para&lt;5, V_para&gt;15, AND(Nb_sat="1 satellite", OR(V_satellite&lt;5, V_satellite&gt;15))), IF(Lang="Français","La Vitesse de descente sous parachute doit être comprise entre 5 &amp; 15 m/s.","Fall Velocity with parachute must be between 5 &amp; 15 m/s."), "")</f>
        <v/>
      </c>
    </row>
    <row r="29" spans="1:18" x14ac:dyDescent="0.2">
      <c r="A29" s="59"/>
      <c r="B29" s="141" t="str">
        <f>IF(Lang="Français","Vitesse du vent",IF(Lang="English","Wind speed",""))</f>
        <v>Vitesse du vent</v>
      </c>
      <c r="C29" s="144">
        <v>5</v>
      </c>
      <c r="D29" s="144">
        <f>V_vent</f>
        <v>5</v>
      </c>
      <c r="E29" s="18" t="str">
        <f>IF(AND(T_satellite=0,m_satellite&lt;&gt;0),"Erreur !","")</f>
        <v/>
      </c>
      <c r="G29" s="485"/>
      <c r="H29" s="486"/>
      <c r="I29" s="490"/>
      <c r="N29" s="58"/>
      <c r="P29" s="384" t="str">
        <f ca="1">IF(AND(Portee_balistique&gt;200,LEFT(Propu,2)="p2"),IF(Lang="Français","Fusée trop lègère !","Rocket too light"),"")</f>
        <v/>
      </c>
    </row>
    <row r="30" spans="1:18" x14ac:dyDescent="0.2">
      <c r="A30" s="59"/>
      <c r="B30" s="133" t="str">
        <f>IF(Lang="Français","Vitesse descente",IF(Lang="English","Fall velocity",""))</f>
        <v>Vitesse descente</v>
      </c>
      <c r="C30" s="424">
        <f ca="1">SQRT(2*m_vide*g/Rho_moyen/S_para/Cx_para)</f>
        <v>8.3000101582346613</v>
      </c>
      <c r="D30" s="424">
        <f>SQRT(2*m_satellite*g/Rho_moyen/S_satellite/Cx_satellite)</f>
        <v>12.655562623057198</v>
      </c>
      <c r="F30" s="384"/>
      <c r="K30" s="388"/>
      <c r="N30" s="58"/>
      <c r="P30" s="384" t="str">
        <f ca="1">IF(OR(AND(Vsortie_de_rampe&lt;20,LEFT(Type_fusee,1)="F"),AND(Vsortie_de_rampe&lt;18, OR(LEFT(Type_fusee,1)=",",LEFT(Type_fusee,4)="Mini",LEFT(Type_fusee,1)="R"))),IF(Lang="Français","Fusée trop lourde ou rampe trop courte !","Rocket too heavy or launch pad too small!"),"")</f>
        <v/>
      </c>
    </row>
    <row r="31" spans="1:18" x14ac:dyDescent="0.2">
      <c r="A31" s="59"/>
      <c r="B31" s="133" t="str">
        <f>IF(Lang="Français","Durée descente",IF(Lang="English","Fall duration",""))</f>
        <v>Durée descente</v>
      </c>
      <c r="C31" s="132">
        <f ca="1">Alt_para/V_para</f>
        <v>191.61423358063311</v>
      </c>
      <c r="D31" s="132">
        <f ca="1">IF(V_satellite&lt;&gt;0,Alt_sat/V_satellite,0)</f>
        <v>73.525318894172329</v>
      </c>
      <c r="H31" s="600" t="str">
        <f>IF(Lang="Français","Pour localiser la fusée","To locate the rocket")</f>
        <v>Pour localiser la fusée</v>
      </c>
      <c r="I31" s="600"/>
      <c r="J31" s="484"/>
      <c r="N31" s="395"/>
      <c r="P31" s="384" t="str">
        <f ca="1">IF(Temps_culmi-T_para&gt;2,IF(Lang="Français","Ouverture parachute fusée précoce.","Early rocket parachute opening."),IF(Temps_culmi-T_para&lt;-2,IF(Lang="Français","Ouverture parachute fusée tardive.","Late rocket parachute opening."),""))</f>
        <v/>
      </c>
    </row>
    <row r="32" spans="1:18" x14ac:dyDescent="0.2">
      <c r="A32" s="59"/>
      <c r="B32" s="133" t="str">
        <f>IF(Lang="Français","Durée du vol",IF(Lang="English","Fligth duration",""))</f>
        <v>Durée du vol</v>
      </c>
      <c r="C32" s="132">
        <f ca="1">T_para+Dt_para</f>
        <v>208.61423358063311</v>
      </c>
      <c r="D32" s="132">
        <f ca="1">T_satellite+Dt_satellite</f>
        <v>80.125318894172324</v>
      </c>
      <c r="F32" s="600" t="str">
        <f>IF(Lang="Français","Couleur fuselage/coiffe","Body/Nose color")</f>
        <v>Couleur fuselage/coiffe</v>
      </c>
      <c r="G32" s="600"/>
      <c r="H32" s="596" t="s">
        <v>271</v>
      </c>
      <c r="I32" s="597"/>
      <c r="N32" s="394"/>
      <c r="P32" s="384" t="str">
        <f ca="1">IF(ABS(Temps_culmi-T_para)&gt;2,IF(Lang="Français","Attention, aux efforts sur le parachute lors de l'ouverture !","Becarefull to the opening chute efforts!"),"")</f>
        <v/>
      </c>
    </row>
    <row r="33" spans="1:16" customFormat="1" x14ac:dyDescent="0.2">
      <c r="A33" s="74"/>
      <c r="B33" s="133" t="str">
        <f>IF(Lang="Français","Déport latéral",IF(Lang="English","Lateral shift",""))</f>
        <v>Déport latéral</v>
      </c>
      <c r="C33" s="151">
        <f ca="1">Alt_para*V_vent/V_para</f>
        <v>958.07116790316559</v>
      </c>
      <c r="D33" s="151">
        <f ca="1">IF(V_satellite&lt;&gt;0,Alt_sat*V_vent_sat/V_satellite,0)</f>
        <v>367.62659447086168</v>
      </c>
      <c r="F33" s="600" t="str">
        <f>IF(Lang="Français","Couleur parachute fusée","Rocket parachute color")</f>
        <v>Couleur parachute fusée</v>
      </c>
      <c r="G33" s="600"/>
      <c r="H33" s="596" t="s">
        <v>272</v>
      </c>
      <c r="I33" s="597"/>
      <c r="N33" s="394" t="str">
        <f>IF(Lang="Français","fichier initial","Initial file")</f>
        <v>fichier initial</v>
      </c>
    </row>
    <row r="34" spans="1:16" x14ac:dyDescent="0.2">
      <c r="A34" s="59"/>
      <c r="F34" s="600" t="str">
        <f>IF(Lang="Français","Couleur parachute satellite","Satellite parachute color")</f>
        <v>Couleur parachute satellite</v>
      </c>
      <c r="G34" s="600"/>
      <c r="H34" s="604" t="s">
        <v>161</v>
      </c>
      <c r="I34" s="604"/>
      <c r="N34" s="393" t="str">
        <f>IF(ROUND(SUM(Propu!5:1218),0)=306466,"propu OK","propu NOK")</f>
        <v>propu OK</v>
      </c>
      <c r="P34"/>
    </row>
    <row r="35" spans="1:16" ht="13.5" thickBot="1" x14ac:dyDescent="0.25">
      <c r="A35" s="60"/>
      <c r="B35" s="181" t="str">
        <f>IF(Lang="Français","Commentaire libre :",IF(Lang="English","Free comment:",""))</f>
        <v>Commentaire libre :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290" t="s">
        <v>552</v>
      </c>
      <c r="P35"/>
    </row>
    <row r="38" spans="1:16" x14ac:dyDescent="0.2">
      <c r="A38" s="601" t="str">
        <f>IF(Lang="Français","Calcul de la surface d'un parachute","Parachute surface calculation")</f>
        <v>Calcul de la surface d'un parachute</v>
      </c>
      <c r="B38" s="602"/>
      <c r="C38" s="602"/>
      <c r="D38" s="603"/>
      <c r="F38" s="601" t="str">
        <f>IF(Lang="Français","Résultats détaillés","Detailled results")</f>
        <v>Résultats détaillés</v>
      </c>
      <c r="G38" s="603"/>
      <c r="H38" s="170" t="str">
        <f>IF(Lang="Français","Temps",IF(Lang="English","Time",""))</f>
        <v>Temps</v>
      </c>
      <c r="I38" s="134" t="s">
        <v>12</v>
      </c>
      <c r="J38" s="134" t="str">
        <f>IF(Lang="Français","Portée x",IF(Lang="English","Range x",""))</f>
        <v>Portée x</v>
      </c>
      <c r="K38" s="134" t="str">
        <f>IF(Lang="Français","Vitesse",IF(Lang="English","Velocity",""))</f>
        <v>Vitesse</v>
      </c>
      <c r="L38" s="135" t="s">
        <v>13</v>
      </c>
      <c r="M38" s="134" t="s">
        <v>42</v>
      </c>
    </row>
    <row r="39" spans="1:16" x14ac:dyDescent="0.2">
      <c r="A39" s="161"/>
      <c r="D39" s="162"/>
      <c r="F39" s="172"/>
      <c r="G39" s="173"/>
      <c r="H39" s="171" t="s">
        <v>156</v>
      </c>
      <c r="I39" s="136" t="s">
        <v>39</v>
      </c>
      <c r="J39" s="136" t="s">
        <v>39</v>
      </c>
      <c r="K39" s="136" t="s">
        <v>157</v>
      </c>
      <c r="L39" s="136" t="s">
        <v>7</v>
      </c>
      <c r="M39" s="136" t="s">
        <v>158</v>
      </c>
    </row>
    <row r="40" spans="1:16" x14ac:dyDescent="0.2">
      <c r="A40" s="161"/>
      <c r="D40" s="162"/>
      <c r="F40" s="625" t="str">
        <f>IF(Lang="Français","Décollage",IF(Lang="English","Lift-Off",""))</f>
        <v>Décollage</v>
      </c>
      <c r="G40" s="625"/>
      <c r="H40" s="150">
        <v>0</v>
      </c>
      <c r="I40" s="150">
        <v>0</v>
      </c>
      <c r="J40" s="150">
        <v>0</v>
      </c>
      <c r="K40" s="150">
        <v>0</v>
      </c>
      <c r="L40" s="148" t="s">
        <v>14</v>
      </c>
      <c r="M40" s="149">
        <f>Beta_rampe</f>
        <v>85</v>
      </c>
    </row>
    <row r="41" spans="1:16" x14ac:dyDescent="0.2">
      <c r="A41" s="161"/>
      <c r="D41" s="162"/>
      <c r="F41" s="612" t="str">
        <f>IF(Lang="Français","Sortie de Rampe",IF(Lang="English","Launch-Pad Exit",""))</f>
        <v>Sortie de Rampe</v>
      </c>
      <c r="G41" s="612"/>
      <c r="H41" s="115">
        <f ca="1">INDEX(t,MATCH("Sortie de rampe",Event,0))</f>
        <v>0.31000000000000011</v>
      </c>
      <c r="I41" s="115">
        <f ca="1">INDEX(pos_z,MATCH("Sortie de rampe",Event,0))</f>
        <v>3.7344471074611216</v>
      </c>
      <c r="J41" s="115">
        <f ca="1">INDEX(pos_x,MATCH("Sortie de rampe",Event,0))</f>
        <v>0.32670361010315052</v>
      </c>
      <c r="K41" s="116">
        <f ca="1">INDEX(vit_xz,MATCH("Sortie de rampe",Event,0))</f>
        <v>26.218681291030229</v>
      </c>
      <c r="L41" s="116">
        <f ca="1">INDEX(acc_xz,MATCH("Sortie de rampe",Event,0))</f>
        <v>89.989650314109824</v>
      </c>
      <c r="M41" s="116">
        <f ca="1">INDEX(BetaD,MATCH("Sortie de rampe",Event,0))</f>
        <v>85</v>
      </c>
    </row>
    <row r="42" spans="1:16" x14ac:dyDescent="0.2">
      <c r="A42" s="161"/>
      <c r="B42" s="166" t="str">
        <f>IF(Lang="Français","Longeur du bord","Side length")</f>
        <v>Longeur du bord</v>
      </c>
      <c r="D42" s="162"/>
      <c r="F42" s="612" t="str">
        <f>IF(Lang="Français","Vit max &amp; Acc max",IF(Lang="English","Max Velocity &amp; Acc",""))</f>
        <v>Vit max &amp; Acc max</v>
      </c>
      <c r="G42" s="612"/>
      <c r="H42" s="115" t="s">
        <v>14</v>
      </c>
      <c r="I42" s="115" t="s">
        <v>14</v>
      </c>
      <c r="J42" s="115" t="s">
        <v>14</v>
      </c>
      <c r="K42" s="117">
        <f ca="1">MAX(vit_xz)</f>
        <v>198.0242844540212</v>
      </c>
      <c r="L42" s="118">
        <f ca="1">MAX(acc_xz)</f>
        <v>95.168630123741679</v>
      </c>
      <c r="M42" s="116" t="s">
        <v>14</v>
      </c>
    </row>
    <row r="43" spans="1:16" x14ac:dyDescent="0.2">
      <c r="A43" s="161"/>
      <c r="B43" s="167">
        <v>549</v>
      </c>
      <c r="D43" s="162"/>
      <c r="F43" s="612" t="str">
        <f>IF(Lang="Français","Fin de Propulsion",IF(Lang="English","Motor Burn-Out",""))</f>
        <v>Fin de Propulsion</v>
      </c>
      <c r="G43" s="612"/>
      <c r="H43" s="116">
        <f ca="1">INDEX(t,MATCH("Fin de propulsion",Event,0))</f>
        <v>3.5999999999999672</v>
      </c>
      <c r="I43" s="119">
        <f ca="1">INDEX(pos_z,MATCH("Fin de propulsion",Event,0))</f>
        <v>452.47081837643316</v>
      </c>
      <c r="J43" s="119">
        <f ca="1">INDEX(pos_x,MATCH("Fin de propulsion",Event,0))</f>
        <v>49.597839837142537</v>
      </c>
      <c r="K43" s="119">
        <f ca="1">INDEX(vit_xz,MATCH("Fin de propulsion",Event,0))</f>
        <v>193.40045143736845</v>
      </c>
      <c r="L43" s="116">
        <f ca="1">INDEX(acc_xz,MATCH("Fin de propulsion",Event,0))</f>
        <v>25.285549687994482</v>
      </c>
      <c r="M43" s="116">
        <f ca="1">INDEX(BetaD,MATCH("Fin de propulsion",Event,0))</f>
        <v>83.255448817870175</v>
      </c>
    </row>
    <row r="44" spans="1:16" x14ac:dyDescent="0.2">
      <c r="A44" s="161"/>
      <c r="B44" s="166" t="str">
        <f>IF(Lang="Français","Largeur du coté","Side width")</f>
        <v>Largeur du coté</v>
      </c>
      <c r="D44" s="162"/>
      <c r="F44" s="612" t="s">
        <v>15</v>
      </c>
      <c r="G44" s="612"/>
      <c r="H44" s="118">
        <f ca="1">INDEX(t,MATCH("Apogée",Event,0))</f>
        <v>17.699999999999939</v>
      </c>
      <c r="I44" s="117">
        <f ca="1">INDEX(pos_z,MATCH("Apogée",Event,0))</f>
        <v>1592.8848656773607</v>
      </c>
      <c r="J44" s="120">
        <f ca="1">INDEX(pos_x,MATCH("Apogée",Event,0))</f>
        <v>284.89054070065004</v>
      </c>
      <c r="K44" s="120">
        <f ca="1">INDEX(vit_xz,MATCH("Apogée",Event,0))</f>
        <v>14.265548444005162</v>
      </c>
      <c r="L44" s="116">
        <f ca="1">INDEX(acc_xz,MATCH("Apogée",Event,0))</f>
        <v>9.8160580594081992</v>
      </c>
      <c r="M44" s="121">
        <f ca="1">INDEX(BetaD,MATCH("Apogée",Event,0))</f>
        <v>0.44413847438841292</v>
      </c>
    </row>
    <row r="45" spans="1:16" x14ac:dyDescent="0.2">
      <c r="A45" s="161"/>
      <c r="B45" s="168">
        <v>549</v>
      </c>
      <c r="D45" s="162"/>
      <c r="F45" s="627" t="str">
        <f>IF(Lang="Français","Impact balistique",IF(Lang="English","Balistic Impact",""))</f>
        <v>Impact balistique</v>
      </c>
      <c r="G45" s="627"/>
      <c r="H45" s="116">
        <f ca="1">INDEX(t,MATCH("Impact balistique",Event,0))</f>
        <v>37.700000000000223</v>
      </c>
      <c r="I45" s="148" t="s">
        <v>16</v>
      </c>
      <c r="J45" s="117">
        <f ca="1">INDEX(pos_x,MATCH("Impact balistique",Event,0))</f>
        <v>515.22511340180665</v>
      </c>
      <c r="K45" s="119">
        <f ca="1">INDEX(vit_xz,MATCH("Impact balistique",Event,0))</f>
        <v>132.08789135343434</v>
      </c>
      <c r="L45" s="116">
        <f ca="1">INDEX(acc_xz,MATCH("Impact balistique",Event,0))</f>
        <v>2.3430908799852794</v>
      </c>
      <c r="M45" s="116">
        <f ca="1">INDEX(BetaD,MATCH("Impact balistique",Event,0))</f>
        <v>-86.770024631074776</v>
      </c>
    </row>
    <row r="46" spans="1:16" x14ac:dyDescent="0.2">
      <c r="A46" s="161"/>
      <c r="B46" s="169" t="s">
        <v>9</v>
      </c>
      <c r="D46" s="162"/>
      <c r="F46" s="610" t="str">
        <f>IF(Lang="Français","Ouverture parachute fusée",IF(Lang="English","Rocket parachute opening",""))</f>
        <v>Ouverture parachute fusée</v>
      </c>
      <c r="G46" s="610"/>
      <c r="H46" s="122">
        <f>T_para</f>
        <v>17</v>
      </c>
      <c r="I46" s="123">
        <f ca="1">INDEX(pos_z,MATCH("Para",Event_para,0))</f>
        <v>1590.400085181604</v>
      </c>
      <c r="J46" s="123">
        <f ca="1">INDEX(pos_x,MATCH("Para",Event_para,0))</f>
        <v>274.8860136227521</v>
      </c>
      <c r="K46" s="123">
        <f ca="1">INDEX(vit_xz,MATCH("Para",Event_para,0))</f>
        <v>15.936861194995005</v>
      </c>
      <c r="L46" s="122">
        <f ca="1">INDEX(acc_xz,MATCH("Para",Event_para,0))</f>
        <v>9.8586859375041165</v>
      </c>
      <c r="M46" s="124">
        <f ca="1">INDEX(BetaD,MATCH("Para",Event_para,0))</f>
        <v>26.028928088094254</v>
      </c>
    </row>
    <row r="47" spans="1:16" x14ac:dyDescent="0.2">
      <c r="A47" s="161"/>
      <c r="B47" s="174">
        <f>(4*B43*B45+B43^2)/10^6</f>
        <v>1.5070049999999999</v>
      </c>
      <c r="D47" s="162"/>
      <c r="F47" s="628" t="str">
        <f>IF(Lang="Français","Impact fusée sous para.",IF(Lang="English","Impact of rocket with para. ",""))</f>
        <v>Impact fusée sous para.</v>
      </c>
      <c r="G47" s="628"/>
      <c r="H47" s="125">
        <f ca="1">T_para+Dt_para</f>
        <v>208.61423358063311</v>
      </c>
      <c r="I47" s="127" t="s">
        <v>16</v>
      </c>
      <c r="J47" s="126" t="str">
        <f ca="1">CONCATENATE(TEXT(X_para-Dx_para,"0")," | ",TEXT(X_para+Dx_para,"0"))</f>
        <v>-683 | 1233</v>
      </c>
      <c r="K47" s="126">
        <f ca="1">V_para</f>
        <v>8.3000101582346613</v>
      </c>
      <c r="L47" s="128">
        <f>g</f>
        <v>9.81</v>
      </c>
      <c r="M47" s="128" t="s">
        <v>14</v>
      </c>
    </row>
    <row r="48" spans="1:16" x14ac:dyDescent="0.2">
      <c r="A48" s="161"/>
      <c r="D48" s="162"/>
      <c r="F48" s="626" t="str">
        <f>IF(Lang="Français","Largage du satellite",IF(Lang="English","Satellite separation",""))</f>
        <v>Largage du satellite</v>
      </c>
      <c r="G48" s="614"/>
      <c r="H48" s="122">
        <f>IF(T_satellite&lt;&gt;0,T_satellite,"")</f>
        <v>6.6</v>
      </c>
      <c r="I48" s="123">
        <f ca="1">IF(T_satellite&lt;&gt;0,INDEX(pos_z,MATCH("Satellite",Event_sat,0)),"")</f>
        <v>930.50427764544861</v>
      </c>
      <c r="J48" s="129">
        <f ca="1">IF(T_satellite&lt;&gt;0,INDEX(pos_x,MATCH("Satellite",Event_sat,0)),"")</f>
        <v>111.03940378853518</v>
      </c>
      <c r="K48" s="123">
        <f ca="1">IF(T_satellite&lt;&gt;0,INDEX(vit_xz,MATCH("Satellite",Event_sat,0)),"")</f>
        <v>132.15440675537548</v>
      </c>
      <c r="L48" s="122">
        <f ca="1">IF(T_satellite&lt;&gt;0,INDEX(acc_xz,MATCH("Satellite",Event_sat,0)),"")</f>
        <v>16.842173058163155</v>
      </c>
      <c r="M48" s="124">
        <f ca="1">IF(T_satellite&lt;&gt;0,INDEX(BetaD,MATCH("Satellite",Event_sat,0)),"")</f>
        <v>81.881539855284188</v>
      </c>
    </row>
    <row r="49" spans="1:13" x14ac:dyDescent="0.2">
      <c r="A49" s="161"/>
      <c r="D49" s="162"/>
      <c r="F49" s="623" t="str">
        <f>IF(Lang="Français","Impact du satellite",IF(Lang="English","Satellite impact",""))</f>
        <v>Impact du satellite</v>
      </c>
      <c r="G49" s="624"/>
      <c r="H49" s="125">
        <f ca="1">IF(T_satellite&lt;&gt;0,T_satellite+Dt_satellite,"")</f>
        <v>80.125318894172324</v>
      </c>
      <c r="I49" s="130" t="str">
        <f>IF(T_satellite&lt;&gt;0,"~0","")</f>
        <v>~0</v>
      </c>
      <c r="J49" s="130" t="str">
        <f ca="1">IF(T_satellite&lt;&gt;0,CONCATENATE(TEXT(X_satellite-Dx_sat,"0")," | ",TEXT(X_satellite+Dx_sat,"0")),"")</f>
        <v>-257 | 479</v>
      </c>
      <c r="K49" s="130">
        <f>IF(T_satellite&lt;&gt;0,V_satellite,"")</f>
        <v>12.655562623057198</v>
      </c>
      <c r="L49" s="128">
        <f>IF(T_satellite&lt;&gt;0,g,"")</f>
        <v>9.81</v>
      </c>
      <c r="M49" s="131" t="str">
        <f>IF(T_satellite&lt;&gt;0,"-","")</f>
        <v>-</v>
      </c>
    </row>
    <row r="50" spans="1:13" x14ac:dyDescent="0.2">
      <c r="A50" s="161"/>
      <c r="B50" s="166" t="str">
        <f>IF(Lang="Français","Rayon exterieur","Half-diameter ext")</f>
        <v>Rayon exterieur</v>
      </c>
      <c r="D50" s="162"/>
    </row>
    <row r="51" spans="1:13" x14ac:dyDescent="0.2">
      <c r="A51" s="161"/>
      <c r="B51" s="168">
        <v>299</v>
      </c>
      <c r="D51" s="162"/>
    </row>
    <row r="52" spans="1:13" x14ac:dyDescent="0.2">
      <c r="A52" s="161"/>
      <c r="B52" s="166" t="str">
        <f>IF(Lang="Français","Rayon intérieur","Half-diameter int")</f>
        <v>Rayon intérieur</v>
      </c>
      <c r="D52" s="162"/>
    </row>
    <row r="53" spans="1:13" x14ac:dyDescent="0.2">
      <c r="A53" s="161"/>
      <c r="B53" s="168">
        <v>29</v>
      </c>
      <c r="D53" s="162"/>
    </row>
    <row r="54" spans="1:13" x14ac:dyDescent="0.2">
      <c r="A54" s="161"/>
      <c r="B54" s="169" t="s">
        <v>9</v>
      </c>
      <c r="D54" s="162"/>
    </row>
    <row r="55" spans="1:13" x14ac:dyDescent="0.2">
      <c r="A55" s="161"/>
      <c r="B55" s="174">
        <f>PI()*(B51^2-B53^2)/10^6</f>
        <v>0.27821944540191207</v>
      </c>
      <c r="D55" s="162"/>
    </row>
    <row r="56" spans="1:13" x14ac:dyDescent="0.2">
      <c r="A56" s="163"/>
      <c r="B56" s="164"/>
      <c r="C56" s="164"/>
      <c r="D56" s="165"/>
    </row>
    <row r="93" spans="2:2" x14ac:dyDescent="0.2">
      <c r="B93" s="24" t="str">
        <f>IF(Lang="Français","Vitesse de descente sous parachute :",IF(Lang="English","Fall velocity over parachute:",""))</f>
        <v>Vitesse de descente sous parachute :</v>
      </c>
    </row>
    <row r="102" spans="2:7" x14ac:dyDescent="0.2">
      <c r="B102" s="24" t="str">
        <f>IF(Lang="Français","Textes pour les listes déroulantes et graphiques :","Texts for drop-down lists &amp; graphics :")</f>
        <v>Textes pour les listes déroulantes et graphiques :</v>
      </c>
      <c r="F102" s="221" t="s">
        <v>413</v>
      </c>
      <c r="G102" s="1" t="s">
        <v>420</v>
      </c>
    </row>
    <row r="103" spans="2:7" x14ac:dyDescent="0.2">
      <c r="F103" s="478">
        <f ca="1">Combustion+Depotage-9</f>
        <v>-9</v>
      </c>
      <c r="G103" s="479" t="s">
        <v>415</v>
      </c>
    </row>
    <row r="104" spans="2:7" x14ac:dyDescent="0.2">
      <c r="B104" s="1" t="s">
        <v>123</v>
      </c>
      <c r="F104" s="478">
        <f ca="1">Combustion+Depotage-7</f>
        <v>-7</v>
      </c>
      <c r="G104" s="479" t="s">
        <v>416</v>
      </c>
    </row>
    <row r="105" spans="2:7" x14ac:dyDescent="0.2">
      <c r="B105" s="1" t="s">
        <v>124</v>
      </c>
      <c r="F105" s="478">
        <f ca="1">Combustion+Depotage-5</f>
        <v>-5</v>
      </c>
      <c r="G105" s="479" t="s">
        <v>417</v>
      </c>
    </row>
    <row r="106" spans="2:7" x14ac:dyDescent="0.2">
      <c r="B106" s="1" t="str">
        <f>IF(T_para&gt;0,IF(Lang="Français","Phase ascendante","Climbing phase"),"")</f>
        <v>Phase ascendante</v>
      </c>
      <c r="F106" s="478">
        <f ca="1">Combustion+Depotage-3</f>
        <v>-3</v>
      </c>
      <c r="G106" s="479" t="s">
        <v>418</v>
      </c>
    </row>
    <row r="107" spans="2:7" x14ac:dyDescent="0.2">
      <c r="B107" s="1" t="str">
        <f>IF(Lang="Français","Descente balistique","Balistic fall")</f>
        <v>Descente balistique</v>
      </c>
      <c r="F107" s="478">
        <f ca="1">Combustion+Depotage</f>
        <v>0</v>
      </c>
      <c r="G107" s="479" t="s">
        <v>419</v>
      </c>
    </row>
    <row r="108" spans="2:7" x14ac:dyDescent="0.2">
      <c r="B108" s="1" t="str">
        <f>IF(T_para&gt;0,IF(Lang="Français","Fusée sous parachute","Rocket under parachute"),"")</f>
        <v>Fusée sous parachute</v>
      </c>
      <c r="F108" s="480" t="str">
        <f>IF(Lang="Français","autre",IF(Lang="English","other",""))</f>
        <v>autre</v>
      </c>
    </row>
    <row r="109" spans="2:7" x14ac:dyDescent="0.2">
      <c r="B109" s="1" t="str">
        <f>IF(AND(Nb_sat="1 satellite",T_satellite&gt;0),IF(Lang="Français","Satellite sous parachute","Satellite over parachute"),"")</f>
        <v>Satellite sous parachute</v>
      </c>
    </row>
    <row r="110" spans="2:7" x14ac:dyDescent="0.2">
      <c r="B110" s="1" t="str">
        <f>IF(Lang="Français","Trajectoire (x z)","Trajectory (x z)")</f>
        <v>Trajectoire (x z)</v>
      </c>
    </row>
    <row r="111" spans="2:7" x14ac:dyDescent="0.2">
      <c r="B111" s="1" t="str">
        <f>IF(Lang="Français","Portée x [m]","Range x [m]")</f>
        <v>Portée x [m]</v>
      </c>
    </row>
    <row r="112" spans="2:7" x14ac:dyDescent="0.2">
      <c r="B112" s="1" t="str">
        <f>IF(Lang="Français","Temps [s]","Time [s]")</f>
        <v>Temps [s]</v>
      </c>
    </row>
    <row r="113" spans="2:3" x14ac:dyDescent="0.2">
      <c r="B113" s="1" t="str">
        <f>IF(Lang="Français","Altitude z  /  Temps","Altitude z  /  Time")</f>
        <v>Altitude z  /  Temps</v>
      </c>
      <c r="C113" s="1">
        <f>IF(OR(C25=F102,C25=F108),C26,C25)</f>
        <v>17</v>
      </c>
    </row>
    <row r="115" spans="2:3" x14ac:dyDescent="0.2">
      <c r="B115" s="1" t="s">
        <v>414</v>
      </c>
    </row>
    <row r="117" spans="2:3" x14ac:dyDescent="0.2">
      <c r="B117" s="24" t="str">
        <f>IF(Lang="Français","Données pour les graphiques :","Data for plots:")</f>
        <v>Données pour les graphiques :</v>
      </c>
      <c r="C117" s="211" t="s">
        <v>50</v>
      </c>
    </row>
    <row r="118" spans="2:3" x14ac:dyDescent="0.2">
      <c r="C118" s="216">
        <f ca="1">MAX(Altitude_culmi,Portee_balistique)</f>
        <v>1592.8848656773607</v>
      </c>
    </row>
    <row r="119" spans="2:3" x14ac:dyDescent="0.2">
      <c r="B119" s="210" t="s">
        <v>50</v>
      </c>
    </row>
    <row r="120" spans="2:3" x14ac:dyDescent="0.2">
      <c r="B120" s="218">
        <f ca="1">MAX(Altitude_culmi,Portee_balistique)</f>
        <v>1592.8848656773607</v>
      </c>
      <c r="C120" s="211" t="s">
        <v>48</v>
      </c>
    </row>
    <row r="121" spans="2:3" x14ac:dyDescent="0.2">
      <c r="C121" s="214">
        <f ca="1">Alt_para</f>
        <v>1590.400085181604</v>
      </c>
    </row>
    <row r="122" spans="2:3" x14ac:dyDescent="0.2">
      <c r="B122" s="210" t="s">
        <v>52</v>
      </c>
      <c r="C122" s="214">
        <f ca="1">Alt_para/2</f>
        <v>795.20004259080201</v>
      </c>
    </row>
    <row r="123" spans="2:3" x14ac:dyDescent="0.2">
      <c r="B123" s="217">
        <f ca="1">X_para</f>
        <v>274.8860136227521</v>
      </c>
      <c r="C123" s="214">
        <v>0</v>
      </c>
    </row>
    <row r="124" spans="2:3" x14ac:dyDescent="0.2">
      <c r="B124" s="217">
        <f ca="1">X_para</f>
        <v>274.8860136227521</v>
      </c>
      <c r="C124" s="214">
        <f ca="1">Alt_para/20</f>
        <v>79.520004259080196</v>
      </c>
    </row>
    <row r="125" spans="2:3" x14ac:dyDescent="0.2">
      <c r="B125" s="217">
        <f ca="1">X_para</f>
        <v>274.8860136227521</v>
      </c>
      <c r="C125" s="214">
        <v>0</v>
      </c>
    </row>
    <row r="126" spans="2:3" x14ac:dyDescent="0.2">
      <c r="B126" s="217">
        <f ca="1">X_para+Alt_para/40</f>
        <v>314.64601575229221</v>
      </c>
      <c r="C126" s="214">
        <f ca="1">Alt_para/20</f>
        <v>79.520004259080196</v>
      </c>
    </row>
    <row r="127" spans="2:3" x14ac:dyDescent="0.2">
      <c r="B127" s="217">
        <f ca="1">X_para</f>
        <v>274.8860136227521</v>
      </c>
      <c r="C127" s="219">
        <v>0</v>
      </c>
    </row>
    <row r="128" spans="2:3" x14ac:dyDescent="0.2">
      <c r="B128" s="217">
        <f ca="1">X_para-Alt_para/40</f>
        <v>235.12601149321199</v>
      </c>
      <c r="C128" s="211" t="s">
        <v>48</v>
      </c>
    </row>
    <row r="129" spans="2:6" x14ac:dyDescent="0.2">
      <c r="B129" s="218">
        <f ca="1">X_para</f>
        <v>274.8860136227521</v>
      </c>
      <c r="C129" s="214">
        <f ca="1">Alt_para</f>
        <v>1590.400085181604</v>
      </c>
      <c r="E129" s="232">
        <v>1</v>
      </c>
      <c r="F129" s="233" t="s">
        <v>180</v>
      </c>
    </row>
    <row r="130" spans="2:6" x14ac:dyDescent="0.2">
      <c r="B130" s="210" t="s">
        <v>51</v>
      </c>
      <c r="C130" s="214">
        <f ca="1">(C129+C131)/2</f>
        <v>795.20004259080201</v>
      </c>
      <c r="E130" s="161">
        <v>1</v>
      </c>
      <c r="F130" s="234" t="s">
        <v>181</v>
      </c>
    </row>
    <row r="131" spans="2:6" x14ac:dyDescent="0.2">
      <c r="B131" s="213">
        <f>T_para</f>
        <v>17</v>
      </c>
      <c r="C131" s="214">
        <f>0</f>
        <v>0</v>
      </c>
      <c r="E131" s="161"/>
      <c r="F131" s="241" t="s">
        <v>182</v>
      </c>
    </row>
    <row r="132" spans="2:6" x14ac:dyDescent="0.2">
      <c r="B132" s="213">
        <f ca="1">(B131+B133)/2</f>
        <v>112.80711679031656</v>
      </c>
      <c r="C132" s="214">
        <f ca="1">Alt_para-V_para*(H47-T_para)+E129*sS*Altitude_culmi/H47*zZ_fus+E130*sS/2*Altitude_culmi/H47*tT_fus</f>
        <v>42.006158906023202</v>
      </c>
      <c r="E132" s="235" t="s">
        <v>177</v>
      </c>
      <c r="F132" s="236">
        <f ca="1">T_balistique/10</f>
        <v>3.7700000000000222</v>
      </c>
    </row>
    <row r="133" spans="2:6" x14ac:dyDescent="0.2">
      <c r="B133" s="213">
        <f ca="1">H47</f>
        <v>208.61423358063311</v>
      </c>
      <c r="C133" s="214">
        <f ca="1">Alt_para-V_para*(H47-T_para)</f>
        <v>0</v>
      </c>
      <c r="E133" s="235" t="s">
        <v>178</v>
      </c>
      <c r="F133" s="236">
        <f ca="1">(H47-T_para)/H47</f>
        <v>0.91850987486225766</v>
      </c>
    </row>
    <row r="134" spans="2:6" x14ac:dyDescent="0.2">
      <c r="B134" s="213">
        <f ca="1">H47+E129*sS/2*zZ_fus-E130*sS*tT_fus</f>
        <v>207.03645135240239</v>
      </c>
      <c r="C134" s="214">
        <f ca="1">Alt_para-V_para*(H47-T_para)+E129*sS*Altitude_culmi/H47*zZ_fus-E130*sS/2*Altitude_culmi/H47*tT_fus</f>
        <v>15.565904519673763</v>
      </c>
      <c r="E134" s="237" t="s">
        <v>179</v>
      </c>
      <c r="F134" s="238">
        <f ca="1">V_para*(H47-T_para)/Alt_para</f>
        <v>1</v>
      </c>
    </row>
    <row r="135" spans="2:6" x14ac:dyDescent="0.2">
      <c r="B135" s="213">
        <f ca="1">H47</f>
        <v>208.61423358063311</v>
      </c>
      <c r="C135" s="216">
        <f ca="1">Alt_para-V_para*(H47-T_para)</f>
        <v>0</v>
      </c>
    </row>
    <row r="136" spans="2:6" x14ac:dyDescent="0.2">
      <c r="B136" s="213">
        <f ca="1">H47-E129*sS/2*zZ_fus-E130*sS*tT_fus</f>
        <v>203.26645135240236</v>
      </c>
    </row>
    <row r="137" spans="2:6" x14ac:dyDescent="0.2">
      <c r="B137" s="215">
        <f ca="1">H47</f>
        <v>208.61423358063311</v>
      </c>
      <c r="C137" s="211" t="s">
        <v>49</v>
      </c>
    </row>
    <row r="138" spans="2:6" x14ac:dyDescent="0.2">
      <c r="C138" s="214">
        <f ca="1">IF(Nb_sat="1 satellite",Alt_sat)</f>
        <v>930.50427764544861</v>
      </c>
    </row>
    <row r="139" spans="2:6" x14ac:dyDescent="0.2">
      <c r="B139" s="210" t="s">
        <v>54</v>
      </c>
      <c r="C139" s="214">
        <f ca="1">IF(Nb_sat="1 satellite",Alt_sat*1/4)</f>
        <v>232.62606941136215</v>
      </c>
    </row>
    <row r="140" spans="2:6" x14ac:dyDescent="0.2">
      <c r="B140" s="217">
        <f ca="1">IF(Nb_sat="1 satellite",X_satellite)</f>
        <v>111.03940378853518</v>
      </c>
      <c r="C140" s="214">
        <f>IF(Nb_sat="1 satellite",0)</f>
        <v>0</v>
      </c>
    </row>
    <row r="141" spans="2:6" x14ac:dyDescent="0.2">
      <c r="B141" s="217">
        <f ca="1">IF(Nb_sat="1 satellite",X_satellite)</f>
        <v>111.03940378853518</v>
      </c>
      <c r="C141" s="214">
        <f ca="1">IF(Nb_sat="1 satellite",Alt_sat/20)</f>
        <v>46.525213882272432</v>
      </c>
    </row>
    <row r="142" spans="2:6" x14ac:dyDescent="0.2">
      <c r="B142" s="217">
        <f ca="1">IF(Nb_sat="1 satellite",X_satellite)</f>
        <v>111.03940378853518</v>
      </c>
      <c r="C142" s="214">
        <f>IF(Nb_sat="1 satellite",0)</f>
        <v>0</v>
      </c>
    </row>
    <row r="143" spans="2:6" x14ac:dyDescent="0.2">
      <c r="B143" s="217">
        <f ca="1">IF(Nb_sat="1 satellite",X_satellite+Alt_sat/40)</f>
        <v>134.30201072967139</v>
      </c>
      <c r="C143" s="214">
        <f ca="1">IF(Nb_sat="1 satellite",Alt_sat/20)</f>
        <v>46.525213882272432</v>
      </c>
    </row>
    <row r="144" spans="2:6" x14ac:dyDescent="0.2">
      <c r="B144" s="217">
        <f ca="1">IF(Nb_sat="1 satellite",X_satellite)</f>
        <v>111.03940378853518</v>
      </c>
      <c r="C144" s="214">
        <f>IF(Nb_sat="1 satellite",0)</f>
        <v>0</v>
      </c>
    </row>
    <row r="145" spans="2:6" x14ac:dyDescent="0.2">
      <c r="B145" s="217">
        <f ca="1">IF(Nb_sat="1 satellite",X_satellite-Alt_sat/40)</f>
        <v>87.77679684739897</v>
      </c>
      <c r="C145" s="211" t="s">
        <v>49</v>
      </c>
    </row>
    <row r="146" spans="2:6" x14ac:dyDescent="0.2">
      <c r="B146" s="218">
        <f ca="1">IF(Nb_sat="1 satellite",X_satellite)</f>
        <v>111.03940378853518</v>
      </c>
      <c r="C146" s="214">
        <f ca="1">IF(Nb_sat="1 satellite",Alt_sat)</f>
        <v>930.50427764544861</v>
      </c>
      <c r="D146" s="221"/>
    </row>
    <row r="147" spans="2:6" x14ac:dyDescent="0.2">
      <c r="B147" s="210" t="s">
        <v>53</v>
      </c>
      <c r="C147" s="214">
        <f ca="1">(C146+C148)/2</f>
        <v>465.25213882272431</v>
      </c>
      <c r="D147" s="221"/>
    </row>
    <row r="148" spans="2:6" x14ac:dyDescent="0.2">
      <c r="B148" s="213">
        <f>IF(Nb_sat="1 satellite",T_satellite)</f>
        <v>6.6</v>
      </c>
      <c r="C148" s="214">
        <f>IF(Nb_sat="1 satellite",0)</f>
        <v>0</v>
      </c>
    </row>
    <row r="149" spans="2:6" x14ac:dyDescent="0.2">
      <c r="B149" s="213">
        <f ca="1">(B148+B150)/2</f>
        <v>43.362659447086159</v>
      </c>
      <c r="C149" s="214">
        <f ca="1">IF(Nb_sat="1 satellite",Alt_sat-V_satellite*(H49-T_satellite)+E129*sS*Altitude_culmi/H49*zZ_sat+E130*sS/2*Altitude_culmi/H49*tT_sat)</f>
        <v>62.614747019284266</v>
      </c>
      <c r="D149" s="221"/>
    </row>
    <row r="150" spans="2:6" x14ac:dyDescent="0.2">
      <c r="B150" s="213">
        <f ca="1">IF(Nb_sat="1 satellite",H49)</f>
        <v>80.125318894172324</v>
      </c>
      <c r="C150" s="214">
        <f>IF(Nb_sat="1 satellite",0)</f>
        <v>0</v>
      </c>
      <c r="E150" s="239" t="s">
        <v>178</v>
      </c>
      <c r="F150" s="240">
        <f ca="1">(T_balistique-T_satellite)/T_balistique</f>
        <v>0.82493368700265357</v>
      </c>
    </row>
    <row r="151" spans="2:6" x14ac:dyDescent="0.2">
      <c r="B151" s="213">
        <f ca="1">IF(Nb_sat="1 satellite",H49+E129*sS/2*zZ_sat-E130*sS*tT_sat)</f>
        <v>77.812642875648393</v>
      </c>
      <c r="C151" s="214">
        <f ca="1">IF(Nb_sat="1 satellite",Alt_sat-V_satellite*(H49-T_satellite)+E129*sS*Altitude_culmi/H49*zZ_sat-E130*sS/2*Altitude_culmi/H49*tT_sat)</f>
        <v>0.78819830002628066</v>
      </c>
      <c r="E151" s="237" t="s">
        <v>179</v>
      </c>
      <c r="F151" s="238">
        <f ca="1">V_satellite*(T_balistique-T_satellite)/Alt_sat</f>
        <v>0.42298354454964804</v>
      </c>
    </row>
    <row r="152" spans="2:6" x14ac:dyDescent="0.2">
      <c r="B152" s="213">
        <f ca="1">IF(Nb_sat="1 satellite",H49)</f>
        <v>80.125318894172324</v>
      </c>
      <c r="C152" s="216">
        <f>IF(Nb_sat="1 satellite",0)</f>
        <v>0</v>
      </c>
    </row>
    <row r="153" spans="2:6" x14ac:dyDescent="0.2">
      <c r="B153" s="213">
        <f ca="1">IF(Nb_sat="1 satellite",H49-sS/2*zZ_sat-E130*sS*tT_sat)</f>
        <v>76.217994912696199</v>
      </c>
    </row>
    <row r="154" spans="2:6" x14ac:dyDescent="0.2">
      <c r="B154" s="215">
        <f ca="1">IF(Nb_sat="1 satellite",H49)</f>
        <v>80.125318894172324</v>
      </c>
      <c r="C154" s="228" t="s">
        <v>29</v>
      </c>
      <c r="D154" s="211" t="s">
        <v>3</v>
      </c>
    </row>
    <row r="155" spans="2:6" x14ac:dyDescent="0.2">
      <c r="C155" s="82">
        <f ca="1">Alt_para/2</f>
        <v>795.20004259080201</v>
      </c>
      <c r="D155" s="214">
        <f ca="1">X_para/4</f>
        <v>68.721503405688026</v>
      </c>
    </row>
    <row r="156" spans="2:6" x14ac:dyDescent="0.2">
      <c r="B156" s="210" t="s">
        <v>2</v>
      </c>
      <c r="C156" s="230">
        <f ca="1">Altitude_culmi/2</f>
        <v>796.44243283868036</v>
      </c>
      <c r="D156" s="216">
        <f ca="1">X_culmi+(Portee_balistique-X_culmi)*2/3</f>
        <v>438.44692250142111</v>
      </c>
    </row>
    <row r="157" spans="2:6" x14ac:dyDescent="0.2">
      <c r="B157" s="231">
        <f>T_para/4</f>
        <v>4.25</v>
      </c>
    </row>
    <row r="158" spans="2:6" x14ac:dyDescent="0.2">
      <c r="B158" s="229">
        <f ca="1">Temps_culmi + (T_balistique-Temps_culmi)/2</f>
        <v>27.700000000000081</v>
      </c>
      <c r="C158" s="228" t="s">
        <v>308</v>
      </c>
      <c r="D158" s="422" t="s">
        <v>310</v>
      </c>
      <c r="E158" s="422"/>
      <c r="F158" s="423" t="s">
        <v>310</v>
      </c>
    </row>
    <row r="159" spans="2:6" x14ac:dyDescent="0.2">
      <c r="C159" s="5">
        <v>0</v>
      </c>
      <c r="D159" s="82">
        <f t="shared" ref="D159:D174" ca="1" si="0">X_culmi+C159</f>
        <v>284.89054070065004</v>
      </c>
      <c r="E159" s="82"/>
      <c r="F159" s="214">
        <f t="shared" ref="F159:F174" ca="1" si="1">X_culmi-C159</f>
        <v>284.89054070065004</v>
      </c>
    </row>
    <row r="160" spans="2:6" x14ac:dyDescent="0.2">
      <c r="B160" s="210" t="s">
        <v>309</v>
      </c>
      <c r="C160" s="5">
        <v>23</v>
      </c>
      <c r="D160" s="82">
        <f t="shared" ca="1" si="0"/>
        <v>307.89054070065004</v>
      </c>
      <c r="E160" s="82"/>
      <c r="F160" s="214">
        <f t="shared" ca="1" si="1"/>
        <v>261.89054070065004</v>
      </c>
    </row>
    <row r="161" spans="2:6" x14ac:dyDescent="0.2">
      <c r="B161" s="231" t="e">
        <f ca="1">IF(AND(Altitude_culmi&gt;80, Altitude_culmi&lt;=350), 49, NA())</f>
        <v>#N/A</v>
      </c>
      <c r="C161" s="5">
        <v>23</v>
      </c>
      <c r="D161" s="82">
        <f t="shared" ca="1" si="0"/>
        <v>307.89054070065004</v>
      </c>
      <c r="E161" s="82"/>
      <c r="F161" s="214">
        <f t="shared" ca="1" si="1"/>
        <v>261.89054070065004</v>
      </c>
    </row>
    <row r="162" spans="2:6" x14ac:dyDescent="0.2">
      <c r="B162" s="231" t="e">
        <f ca="1">IF(AND(Altitude_culmi&gt;80, Altitude_culmi&lt;=350), 49, NA())</f>
        <v>#N/A</v>
      </c>
      <c r="C162" s="5">
        <v>0</v>
      </c>
      <c r="D162" s="82">
        <f t="shared" ca="1" si="0"/>
        <v>284.89054070065004</v>
      </c>
      <c r="E162" s="82"/>
      <c r="F162" s="214">
        <f t="shared" ca="1" si="1"/>
        <v>284.89054070065004</v>
      </c>
    </row>
    <row r="163" spans="2:6" x14ac:dyDescent="0.2">
      <c r="B163" s="231" t="e">
        <f ca="1">IF(AND(Altitude_culmi&gt;80, Altitude_culmi&lt;=350), 43, NA())</f>
        <v>#N/A</v>
      </c>
      <c r="C163" s="5">
        <v>23</v>
      </c>
      <c r="D163" s="82">
        <f t="shared" ca="1" si="0"/>
        <v>307.89054070065004</v>
      </c>
      <c r="E163" s="82"/>
      <c r="F163" s="214">
        <f t="shared" ca="1" si="1"/>
        <v>261.89054070065004</v>
      </c>
    </row>
    <row r="164" spans="2:6" x14ac:dyDescent="0.2">
      <c r="B164" s="231" t="e">
        <f ca="1">IF(AND(Altitude_culmi&gt;80, Altitude_culmi&lt;=350), 43, NA())</f>
        <v>#N/A</v>
      </c>
      <c r="C164" s="5">
        <v>23</v>
      </c>
      <c r="D164" s="82">
        <f t="shared" ca="1" si="0"/>
        <v>307.89054070065004</v>
      </c>
      <c r="E164" s="82"/>
      <c r="F164" s="214">
        <f t="shared" ca="1" si="1"/>
        <v>261.89054070065004</v>
      </c>
    </row>
    <row r="165" spans="2:6" x14ac:dyDescent="0.2">
      <c r="B165" s="231" t="e">
        <f ca="1">IF(AND(Altitude_culmi&gt;80, Altitude_culmi&lt;=350), 43, NA())</f>
        <v>#N/A</v>
      </c>
      <c r="C165" s="5">
        <v>8</v>
      </c>
      <c r="D165" s="82">
        <f t="shared" ca="1" si="0"/>
        <v>292.89054070065004</v>
      </c>
      <c r="E165" s="82"/>
      <c r="F165" s="214">
        <f t="shared" ca="1" si="1"/>
        <v>276.89054070065004</v>
      </c>
    </row>
    <row r="166" spans="2:6" x14ac:dyDescent="0.2">
      <c r="B166" s="231" t="e">
        <f ca="1">IF(AND(Altitude_culmi&gt;80, Altitude_culmi&lt;=350), 0.5, NA())</f>
        <v>#N/A</v>
      </c>
      <c r="C166" s="5">
        <v>8</v>
      </c>
      <c r="D166" s="82">
        <f t="shared" ca="1" si="0"/>
        <v>292.89054070065004</v>
      </c>
      <c r="E166" s="82"/>
      <c r="F166" s="214">
        <f t="shared" ca="1" si="1"/>
        <v>276.89054070065004</v>
      </c>
    </row>
    <row r="167" spans="2:6" x14ac:dyDescent="0.2">
      <c r="B167" s="231" t="e">
        <f ca="1">IF(AND(Altitude_culmi&gt;80, Altitude_culmi&lt;=350), 0.5, NA())</f>
        <v>#N/A</v>
      </c>
      <c r="C167" s="5">
        <v>23</v>
      </c>
      <c r="D167" s="82">
        <f t="shared" ca="1" si="0"/>
        <v>307.89054070065004</v>
      </c>
      <c r="E167" s="82"/>
      <c r="F167" s="214">
        <f t="shared" ca="1" si="1"/>
        <v>261.89054070065004</v>
      </c>
    </row>
    <row r="168" spans="2:6" x14ac:dyDescent="0.2">
      <c r="B168" s="231" t="e">
        <f ca="1">IF(AND(Altitude_culmi&gt;80, Altitude_culmi&lt;=350), 27, NA())</f>
        <v>#N/A</v>
      </c>
      <c r="C168" s="5">
        <v>8</v>
      </c>
      <c r="D168" s="82">
        <f t="shared" ca="1" si="0"/>
        <v>292.89054070065004</v>
      </c>
      <c r="E168" s="82"/>
      <c r="F168" s="214">
        <f t="shared" ca="1" si="1"/>
        <v>276.89054070065004</v>
      </c>
    </row>
    <row r="169" spans="2:6" x14ac:dyDescent="0.2">
      <c r="B169" s="231" t="e">
        <f ca="1">IF(AND(Altitude_culmi&gt;80, Altitude_culmi&lt;=350), 27, NA())</f>
        <v>#N/A</v>
      </c>
      <c r="C169" s="5">
        <v>7.6</v>
      </c>
      <c r="D169" s="82">
        <f t="shared" ca="1" si="0"/>
        <v>292.49054070065006</v>
      </c>
      <c r="E169" s="82"/>
      <c r="F169" s="214">
        <f t="shared" ca="1" si="1"/>
        <v>277.29054070065001</v>
      </c>
    </row>
    <row r="170" spans="2:6" x14ac:dyDescent="0.2">
      <c r="B170" s="231" t="e">
        <f ca="1">IF(AND(Altitude_culmi&gt;80, Altitude_culmi&lt;=350), 27, NA())</f>
        <v>#N/A</v>
      </c>
      <c r="C170" s="5">
        <v>6.8</v>
      </c>
      <c r="D170" s="82">
        <f t="shared" ca="1" si="0"/>
        <v>291.69054070065005</v>
      </c>
      <c r="E170" s="82"/>
      <c r="F170" s="214">
        <f t="shared" ca="1" si="1"/>
        <v>278.09054070065002</v>
      </c>
    </row>
    <row r="171" spans="2:6" x14ac:dyDescent="0.2">
      <c r="B171" s="231" t="e">
        <f ca="1">IF(AND(Altitude_culmi&gt;80, Altitude_culmi&lt;=350), 29, NA())</f>
        <v>#N/A</v>
      </c>
      <c r="C171" s="5">
        <v>6</v>
      </c>
      <c r="D171" s="82">
        <f t="shared" ca="1" si="0"/>
        <v>290.89054070065004</v>
      </c>
      <c r="E171" s="82"/>
      <c r="F171" s="214">
        <f t="shared" ca="1" si="1"/>
        <v>278.89054070065004</v>
      </c>
    </row>
    <row r="172" spans="2:6" x14ac:dyDescent="0.2">
      <c r="B172" s="231" t="e">
        <f ca="1">IF(AND(Altitude_culmi&gt;80, Altitude_culmi&lt;=350), 31, NA())</f>
        <v>#N/A</v>
      </c>
      <c r="C172" s="5">
        <v>5</v>
      </c>
      <c r="D172" s="82">
        <f t="shared" ca="1" si="0"/>
        <v>289.89054070065004</v>
      </c>
      <c r="E172" s="82"/>
      <c r="F172" s="214">
        <f t="shared" ca="1" si="1"/>
        <v>279.89054070065004</v>
      </c>
    </row>
    <row r="173" spans="2:6" x14ac:dyDescent="0.2">
      <c r="B173" s="231" t="e">
        <f ca="1">IF(AND(Altitude_culmi&gt;80, Altitude_culmi&lt;=350), 32, NA())</f>
        <v>#N/A</v>
      </c>
      <c r="C173" s="5">
        <v>3.8</v>
      </c>
      <c r="D173" s="82">
        <f t="shared" ca="1" si="0"/>
        <v>288.69054070065005</v>
      </c>
      <c r="E173" s="82"/>
      <c r="F173" s="214">
        <f t="shared" ca="1" si="1"/>
        <v>281.09054070065002</v>
      </c>
    </row>
    <row r="174" spans="2:6" x14ac:dyDescent="0.2">
      <c r="B174" s="231" t="e">
        <f ca="1">IF(AND(Altitude_culmi&gt;80, Altitude_culmi&lt;=350), 33, NA())</f>
        <v>#N/A</v>
      </c>
      <c r="C174" s="421">
        <v>0</v>
      </c>
      <c r="D174" s="230">
        <f t="shared" ca="1" si="0"/>
        <v>284.89054070065004</v>
      </c>
      <c r="E174" s="230"/>
      <c r="F174" s="216">
        <f t="shared" ca="1" si="1"/>
        <v>284.89054070065004</v>
      </c>
    </row>
    <row r="175" spans="2:6" x14ac:dyDescent="0.2">
      <c r="B175" s="231" t="e">
        <f ca="1">IF(AND(Altitude_culmi&gt;80, Altitude_culmi&lt;=350), 34, NA())</f>
        <v>#N/A</v>
      </c>
    </row>
    <row r="176" spans="2:6" x14ac:dyDescent="0.2">
      <c r="B176" s="229" t="e">
        <f ca="1">IF(AND(Altitude_culmi&gt;80, Altitude_culmi&lt;=350), 35, NA())</f>
        <v>#N/A</v>
      </c>
      <c r="C176" s="228" t="s">
        <v>312</v>
      </c>
      <c r="D176" s="228" t="s">
        <v>313</v>
      </c>
      <c r="E176" s="228"/>
      <c r="F176" s="211" t="s">
        <v>313</v>
      </c>
    </row>
    <row r="177" spans="2:6" x14ac:dyDescent="0.2">
      <c r="C177" s="5">
        <v>0</v>
      </c>
      <c r="D177" s="82">
        <f t="shared" ref="D177:D197" ca="1" si="2">X_culmi+C177</f>
        <v>284.89054070065004</v>
      </c>
      <c r="E177" s="82"/>
      <c r="F177" s="214">
        <f t="shared" ref="F177:F197" ca="1" si="3">X_culmi-C177</f>
        <v>284.89054070065004</v>
      </c>
    </row>
    <row r="178" spans="2:6" x14ac:dyDescent="0.2">
      <c r="B178" s="210" t="s">
        <v>311</v>
      </c>
      <c r="C178" s="5">
        <v>0</v>
      </c>
      <c r="D178" s="82">
        <f t="shared" ca="1" si="2"/>
        <v>284.89054070065004</v>
      </c>
      <c r="E178" s="82"/>
      <c r="F178" s="214">
        <f t="shared" ca="1" si="3"/>
        <v>284.89054070065004</v>
      </c>
    </row>
    <row r="179" spans="2:6" x14ac:dyDescent="0.2">
      <c r="B179" s="231">
        <f ca="1">IF(Altitude_culmi&gt;350, 324, NA())</f>
        <v>324</v>
      </c>
      <c r="C179" s="5">
        <v>10</v>
      </c>
      <c r="D179" s="82">
        <f t="shared" ca="1" si="2"/>
        <v>294.89054070065004</v>
      </c>
      <c r="E179" s="82"/>
      <c r="F179" s="214">
        <f t="shared" ca="1" si="3"/>
        <v>274.89054070065004</v>
      </c>
    </row>
    <row r="180" spans="2:6" x14ac:dyDescent="0.2">
      <c r="B180" s="231">
        <f ca="1">IF(Altitude_culmi&gt;350, 300, NA())</f>
        <v>300</v>
      </c>
      <c r="C180" s="5">
        <v>0</v>
      </c>
      <c r="D180" s="82">
        <f t="shared" ca="1" si="2"/>
        <v>284.89054070065004</v>
      </c>
      <c r="E180" s="82"/>
      <c r="F180" s="214">
        <f t="shared" ca="1" si="3"/>
        <v>284.89054070065004</v>
      </c>
    </row>
    <row r="181" spans="2:6" x14ac:dyDescent="0.2">
      <c r="B181" s="231">
        <f ca="1">IF(Altitude_culmi&gt;350, 280, NA())</f>
        <v>280</v>
      </c>
      <c r="C181" s="5">
        <v>10</v>
      </c>
      <c r="D181" s="82">
        <f t="shared" ca="1" si="2"/>
        <v>294.89054070065004</v>
      </c>
      <c r="E181" s="82"/>
      <c r="F181" s="214">
        <f t="shared" ca="1" si="3"/>
        <v>274.89054070065004</v>
      </c>
    </row>
    <row r="182" spans="2:6" x14ac:dyDescent="0.2">
      <c r="B182" s="231">
        <f ca="1">IF(Altitude_culmi&gt;350, 280, NA())</f>
        <v>280</v>
      </c>
      <c r="C182" s="5">
        <v>13</v>
      </c>
      <c r="D182" s="82">
        <f t="shared" ca="1" si="2"/>
        <v>297.89054070065004</v>
      </c>
      <c r="E182" s="82"/>
      <c r="F182" s="214">
        <f t="shared" ca="1" si="3"/>
        <v>271.89054070065004</v>
      </c>
    </row>
    <row r="183" spans="2:6" x14ac:dyDescent="0.2">
      <c r="B183" s="231">
        <f ca="1">IF(Altitude_culmi&gt;350, 280, NA())</f>
        <v>280</v>
      </c>
      <c r="C183" s="5">
        <v>17</v>
      </c>
      <c r="D183" s="82">
        <f t="shared" ca="1" si="2"/>
        <v>301.89054070065004</v>
      </c>
      <c r="E183" s="82"/>
      <c r="F183" s="214">
        <f t="shared" ca="1" si="3"/>
        <v>267.89054070065004</v>
      </c>
    </row>
    <row r="184" spans="2:6" x14ac:dyDescent="0.2">
      <c r="B184" s="231">
        <f ca="1">IF(Altitude_culmi&gt;350, 200, NA())</f>
        <v>200</v>
      </c>
      <c r="C184" s="5">
        <v>20</v>
      </c>
      <c r="D184" s="82">
        <f t="shared" ca="1" si="2"/>
        <v>304.89054070065004</v>
      </c>
      <c r="E184" s="82"/>
      <c r="F184" s="214">
        <f t="shared" ca="1" si="3"/>
        <v>264.89054070065004</v>
      </c>
    </row>
    <row r="185" spans="2:6" x14ac:dyDescent="0.2">
      <c r="B185" s="231">
        <f ca="1">IF(Altitude_culmi&gt;350, 160, NA())</f>
        <v>160</v>
      </c>
      <c r="C185" s="5">
        <v>25</v>
      </c>
      <c r="D185" s="82">
        <f t="shared" ca="1" si="2"/>
        <v>309.89054070065004</v>
      </c>
      <c r="E185" s="82"/>
      <c r="F185" s="214">
        <f t="shared" ca="1" si="3"/>
        <v>259.89054070065004</v>
      </c>
    </row>
    <row r="186" spans="2:6" x14ac:dyDescent="0.2">
      <c r="B186" s="231">
        <f ca="1">IF(Altitude_culmi&gt;350, 115, NA())</f>
        <v>115</v>
      </c>
      <c r="C186" s="5">
        <v>30</v>
      </c>
      <c r="D186" s="82">
        <f t="shared" ca="1" si="2"/>
        <v>314.89054070065004</v>
      </c>
      <c r="E186" s="82"/>
      <c r="F186" s="214">
        <f t="shared" ca="1" si="3"/>
        <v>254.89054070065004</v>
      </c>
    </row>
    <row r="187" spans="2:6" x14ac:dyDescent="0.2">
      <c r="B187" s="231">
        <f ca="1">IF(Altitude_culmi&gt;350, 90, NA())</f>
        <v>90</v>
      </c>
      <c r="C187" s="5">
        <v>36</v>
      </c>
      <c r="D187" s="82">
        <f t="shared" ca="1" si="2"/>
        <v>320.89054070065004</v>
      </c>
      <c r="E187" s="82"/>
      <c r="F187" s="214">
        <f t="shared" ca="1" si="3"/>
        <v>248.89054070065004</v>
      </c>
    </row>
    <row r="188" spans="2:6" x14ac:dyDescent="0.2">
      <c r="B188" s="231">
        <f ca="1">IF(Altitude_culmi&gt;350, 57, NA())</f>
        <v>57</v>
      </c>
      <c r="C188" s="5">
        <v>48</v>
      </c>
      <c r="D188" s="82">
        <f t="shared" ca="1" si="2"/>
        <v>332.89054070065004</v>
      </c>
      <c r="E188" s="82"/>
      <c r="F188" s="214">
        <f t="shared" ca="1" si="3"/>
        <v>236.89054070065004</v>
      </c>
    </row>
    <row r="189" spans="2:6" x14ac:dyDescent="0.2">
      <c r="B189" s="231">
        <f ca="1">IF(Altitude_culmi&gt;350, 40, NA())</f>
        <v>40</v>
      </c>
      <c r="C189" s="5">
        <v>62</v>
      </c>
      <c r="D189" s="82">
        <f t="shared" ca="1" si="2"/>
        <v>346.89054070065004</v>
      </c>
      <c r="E189" s="82"/>
      <c r="F189" s="214">
        <f t="shared" ca="1" si="3"/>
        <v>222.89054070065004</v>
      </c>
    </row>
    <row r="190" spans="2:6" x14ac:dyDescent="0.2">
      <c r="B190" s="231">
        <f ca="1">IF(Altitude_culmi&gt;350, 20, NA())</f>
        <v>20</v>
      </c>
      <c r="C190" s="5">
        <v>37</v>
      </c>
      <c r="D190" s="82">
        <f t="shared" ca="1" si="2"/>
        <v>321.89054070065004</v>
      </c>
      <c r="E190" s="82"/>
      <c r="F190" s="214">
        <f t="shared" ca="1" si="3"/>
        <v>247.89054070065004</v>
      </c>
    </row>
    <row r="191" spans="2:6" x14ac:dyDescent="0.2">
      <c r="B191" s="231">
        <f ca="1">IF(Altitude_culmi&gt;350, 0.5, NA())</f>
        <v>0.5</v>
      </c>
      <c r="C191" s="5">
        <v>30</v>
      </c>
      <c r="D191" s="82">
        <f t="shared" ca="1" si="2"/>
        <v>314.89054070065004</v>
      </c>
      <c r="E191" s="82"/>
      <c r="F191" s="214">
        <f t="shared" ca="1" si="3"/>
        <v>254.89054070065004</v>
      </c>
    </row>
    <row r="192" spans="2:6" x14ac:dyDescent="0.2">
      <c r="B192" s="231">
        <f ca="1">IF(Altitude_culmi&gt;350, 0.5, NA())</f>
        <v>0.5</v>
      </c>
      <c r="C192" s="5">
        <v>15</v>
      </c>
      <c r="D192" s="82">
        <f t="shared" ca="1" si="2"/>
        <v>299.89054070065004</v>
      </c>
      <c r="E192" s="82"/>
      <c r="F192" s="214">
        <f t="shared" ca="1" si="3"/>
        <v>269.89054070065004</v>
      </c>
    </row>
    <row r="193" spans="2:6" x14ac:dyDescent="0.2">
      <c r="B193" s="231">
        <f ca="1">IF(Altitude_culmi&gt;350, 15, NA())</f>
        <v>15</v>
      </c>
      <c r="C193" s="5">
        <v>0</v>
      </c>
      <c r="D193" s="82">
        <f t="shared" ca="1" si="2"/>
        <v>284.89054070065004</v>
      </c>
      <c r="E193" s="82"/>
      <c r="F193" s="214">
        <f t="shared" ca="1" si="3"/>
        <v>284.89054070065004</v>
      </c>
    </row>
    <row r="194" spans="2:6" x14ac:dyDescent="0.2">
      <c r="B194" s="231">
        <f ca="1">IF(Altitude_culmi&gt;350, 30, NA())</f>
        <v>30</v>
      </c>
      <c r="C194" s="5">
        <v>0</v>
      </c>
      <c r="D194" s="82">
        <f t="shared" ca="1" si="2"/>
        <v>284.89054070065004</v>
      </c>
      <c r="E194" s="82"/>
      <c r="F194" s="214">
        <f t="shared" ca="1" si="3"/>
        <v>284.89054070065004</v>
      </c>
    </row>
    <row r="195" spans="2:6" x14ac:dyDescent="0.2">
      <c r="B195" s="231">
        <f ca="1">IF(Altitude_culmi&gt;350, 37, NA())</f>
        <v>37</v>
      </c>
      <c r="C195" s="5">
        <v>17</v>
      </c>
      <c r="D195" s="82">
        <f t="shared" ca="1" si="2"/>
        <v>301.89054070065004</v>
      </c>
      <c r="E195" s="82"/>
      <c r="F195" s="214">
        <f t="shared" ca="1" si="3"/>
        <v>267.89054070065004</v>
      </c>
    </row>
    <row r="196" spans="2:6" x14ac:dyDescent="0.2">
      <c r="B196" s="231">
        <f ca="1">IF(Altitude_culmi&gt;350, 67, NA())</f>
        <v>67</v>
      </c>
      <c r="C196" s="5">
        <v>11</v>
      </c>
      <c r="D196" s="82">
        <f t="shared" ca="1" si="2"/>
        <v>295.89054070065004</v>
      </c>
      <c r="E196" s="82"/>
      <c r="F196" s="214">
        <f t="shared" ca="1" si="3"/>
        <v>273.89054070065004</v>
      </c>
    </row>
    <row r="197" spans="2:6" x14ac:dyDescent="0.2">
      <c r="B197" s="231">
        <f ca="1">IF(Altitude_culmi&gt;350, 67, NA())</f>
        <v>67</v>
      </c>
      <c r="C197" s="421">
        <v>0</v>
      </c>
      <c r="D197" s="230">
        <f t="shared" ca="1" si="2"/>
        <v>284.89054070065004</v>
      </c>
      <c r="E197" s="230"/>
      <c r="F197" s="216">
        <f t="shared" ca="1" si="3"/>
        <v>284.89054070065004</v>
      </c>
    </row>
    <row r="198" spans="2:6" x14ac:dyDescent="0.2">
      <c r="B198" s="231">
        <f ca="1">IF(Altitude_culmi&gt;350, 100, NA())</f>
        <v>100</v>
      </c>
    </row>
    <row r="199" spans="2:6" x14ac:dyDescent="0.2">
      <c r="B199" s="229">
        <f ca="1">IF(Altitude_culmi&gt;350, 100, NA())</f>
        <v>100</v>
      </c>
    </row>
  </sheetData>
  <sheetProtection password="C6AC" sheet="1"/>
  <protectedRanges>
    <protectedRange sqref="C25" name="Plage1"/>
  </protectedRanges>
  <mergeCells count="41">
    <mergeCell ref="F49:G49"/>
    <mergeCell ref="F40:G40"/>
    <mergeCell ref="F41:G41"/>
    <mergeCell ref="F42:G42"/>
    <mergeCell ref="F43:G43"/>
    <mergeCell ref="F48:G48"/>
    <mergeCell ref="F44:G44"/>
    <mergeCell ref="F45:G45"/>
    <mergeCell ref="F47:G47"/>
    <mergeCell ref="F46:G46"/>
    <mergeCell ref="C15:D15"/>
    <mergeCell ref="C10:D10"/>
    <mergeCell ref="C19:D19"/>
    <mergeCell ref="C20:D20"/>
    <mergeCell ref="C11:D11"/>
    <mergeCell ref="C13:D13"/>
    <mergeCell ref="C14:D14"/>
    <mergeCell ref="C18:D18"/>
    <mergeCell ref="C22:D22"/>
    <mergeCell ref="C17:D17"/>
    <mergeCell ref="F23:G23"/>
    <mergeCell ref="F27:G27"/>
    <mergeCell ref="F26:G26"/>
    <mergeCell ref="F24:G24"/>
    <mergeCell ref="F25:G25"/>
    <mergeCell ref="H33:I33"/>
    <mergeCell ref="H32:I32"/>
    <mergeCell ref="F28:G28"/>
    <mergeCell ref="H31:I31"/>
    <mergeCell ref="A38:D38"/>
    <mergeCell ref="H34:I34"/>
    <mergeCell ref="F34:G34"/>
    <mergeCell ref="F33:G33"/>
    <mergeCell ref="F32:G32"/>
    <mergeCell ref="F38:G38"/>
    <mergeCell ref="C2:D3"/>
    <mergeCell ref="C7:D7"/>
    <mergeCell ref="C8:D8"/>
    <mergeCell ref="C9:D9"/>
    <mergeCell ref="C6:D6"/>
    <mergeCell ref="C4:D4"/>
  </mergeCells>
  <phoneticPr fontId="8" type="noConversion"/>
  <conditionalFormatting sqref="B26">
    <cfRule type="expression" dxfId="26" priority="89" stopIfTrue="1">
      <formula>NOT(OR(C25=F108,C25=F102,Nb_sat="1 satellite"))</formula>
    </cfRule>
  </conditionalFormatting>
  <conditionalFormatting sqref="C26">
    <cfRule type="expression" dxfId="25" priority="91" stopIfTrue="1">
      <formula>NOT(OR(C25=F108,C25=F102))</formula>
    </cfRule>
  </conditionalFormatting>
  <conditionalFormatting sqref="C30">
    <cfRule type="cellIs" dxfId="24" priority="42" stopIfTrue="1" operator="notBetween">
      <formula>5</formula>
      <formula>15</formula>
    </cfRule>
  </conditionalFormatting>
  <conditionalFormatting sqref="D24">
    <cfRule type="expression" dxfId="23" priority="39" stopIfTrue="1">
      <formula>Nb_sat="0 satellite"</formula>
    </cfRule>
  </conditionalFormatting>
  <conditionalFormatting sqref="D25">
    <cfRule type="expression" dxfId="22" priority="2" stopIfTrue="1">
      <formula>Nb_sat="0 satellite"</formula>
    </cfRule>
  </conditionalFormatting>
  <conditionalFormatting sqref="D26:D29 D31:D33">
    <cfRule type="expression" dxfId="21" priority="59" stopIfTrue="1">
      <formula>Nb_sat="0 satellite"</formula>
    </cfRule>
  </conditionalFormatting>
  <conditionalFormatting sqref="D30">
    <cfRule type="expression" dxfId="20" priority="40" stopIfTrue="1">
      <formula>Nb_sat="0 satellite"</formula>
    </cfRule>
    <cfRule type="cellIs" dxfId="19" priority="49" stopIfTrue="1" operator="notBetween">
      <formula>5</formula>
      <formula>15</formula>
    </cfRule>
  </conditionalFormatting>
  <conditionalFormatting sqref="F25">
    <cfRule type="expression" dxfId="18" priority="26" stopIfTrue="1">
      <formula>Nb_sat="0 satellite"</formula>
    </cfRule>
  </conditionalFormatting>
  <conditionalFormatting sqref="F34:I34 F48:M48">
    <cfRule type="expression" dxfId="17" priority="22" stopIfTrue="1">
      <formula>Nb_sat="0 satellite"</formula>
    </cfRule>
  </conditionalFormatting>
  <conditionalFormatting sqref="F49:M49">
    <cfRule type="expression" dxfId="16" priority="21" stopIfTrue="1">
      <formula>Nb_sat="0 satellite"</formula>
    </cfRule>
  </conditionalFormatting>
  <conditionalFormatting sqref="H27 H46">
    <cfRule type="expression" dxfId="15" priority="4" stopIfTrue="1">
      <formula>ABS(Temps_culmi-T_para)&gt;2</formula>
    </cfRule>
  </conditionalFormatting>
  <conditionalFormatting sqref="H32:I32">
    <cfRule type="cellIs" dxfId="14" priority="14" stopIfTrue="1" operator="equal">
      <formula>"Brun/Orange…"</formula>
    </cfRule>
  </conditionalFormatting>
  <conditionalFormatting sqref="H33:I33">
    <cfRule type="cellIs" dxfId="13" priority="13" stopIfTrue="1" operator="equal">
      <formula>"Rouge…"</formula>
    </cfRule>
  </conditionalFormatting>
  <conditionalFormatting sqref="H25:M25">
    <cfRule type="expression" dxfId="12" priority="41" stopIfTrue="1">
      <formula>Nb_sat="0 satellite"</formula>
    </cfRule>
  </conditionalFormatting>
  <conditionalFormatting sqref="J28 J45">
    <cfRule type="expression" dxfId="11" priority="6" stopIfTrue="1">
      <formula>AND(Portee_balistique&gt;200,LEFT(Propu,2)="p2")</formula>
    </cfRule>
  </conditionalFormatting>
  <conditionalFormatting sqref="K23 K41">
    <cfRule type="expression" dxfId="10" priority="44" stopIfTrue="1">
      <formula>AND(Vsortie_de_rampe&lt;18, OR(LEFT(Type_fusee,1)=",",LEFT(Type_fusee,4)="Mini",LEFT(Type_fusee,1)="R"))</formula>
    </cfRule>
    <cfRule type="expression" dxfId="9" priority="45" stopIfTrue="1">
      <formula>AND(Vsortie_de_rampe&lt;20, RIGHT(Type_fusee,1)=".")</formula>
    </cfRule>
  </conditionalFormatting>
  <conditionalFormatting sqref="K40">
    <cfRule type="expression" dxfId="8" priority="34" stopIfTrue="1">
      <formula>AND( $K$21=0, OR( $I$21&gt;0, $J$21&gt;0 ) )</formula>
    </cfRule>
  </conditionalFormatting>
  <conditionalFormatting sqref="N33">
    <cfRule type="expression" dxfId="7" priority="15" stopIfTrue="1">
      <formula>ROUND(SUM(C23:L34),0)=1914</formula>
    </cfRule>
  </conditionalFormatting>
  <conditionalFormatting sqref="N34">
    <cfRule type="expression" dxfId="6" priority="16" stopIfTrue="1">
      <formula>$N$34="propu NOK"</formula>
    </cfRule>
  </conditionalFormatting>
  <dataValidations count="14">
    <dataValidation type="decimal" operator="greaterThanOrEqual" showErrorMessage="1" sqref="H40:K40 C29 C26 D26:D27" xr:uid="{F73B2C6C-FF1F-9541-B294-581EAE03940D}">
      <formula1>0</formula1>
    </dataValidation>
    <dataValidation type="list" allowBlank="1" showInputMessage="1" showErrorMessage="1" sqref="H50" xr:uid="{7F77F225-6D03-4D40-9887-F691460AB89F}">
      <formula1>gao</formula1>
    </dataValidation>
    <dataValidation operator="greaterThanOrEqual" showErrorMessage="1" sqref="D29 C27" xr:uid="{7893EC0B-AF40-0E45-B830-EB69405F86AA}"/>
    <dataValidation type="decimal" errorStyle="warning" allowBlank="1" showErrorMessage="1" errorTitle="Cx para" error="Le Cx du parachute est souvent compris entre 0 et 2._x000a_Cx of parachute might be between 0 a 2." sqref="C28:D28" xr:uid="{DB73182A-CBAE-CB4E-B0FB-F47D9396DDDF}">
      <formula1>0</formula1>
      <formula2>2</formula2>
    </dataValidation>
    <dataValidation sqref="C11:D11" xr:uid="{20D451B8-BC72-254B-B59C-F134150F4F1C}"/>
    <dataValidation operator="greaterThanOrEqual" sqref="C10:D10" xr:uid="{1AA622F8-B2C5-5649-BDD2-36BFF6D9DFFC}"/>
    <dataValidation type="decimal" errorStyle="warning" showErrorMessage="1" errorTitle="Cx" error="Le Cx est souvent compris entre 0,3 et 0,7._x000a_Cx may be between 0,3 &amp; 0,7." sqref="C15:D15" xr:uid="{0869A7A3-B452-5042-B523-27BE48ABC27A}">
      <formula1>0.3</formula1>
      <formula2>0.7</formula2>
    </dataValidation>
    <dataValidation type="decimal" operator="greaterThanOrEqual" allowBlank="1" showErrorMessage="1" sqref="C18:D18" xr:uid="{0E5A810C-381A-5946-8F4C-1E03524CCFA7}">
      <formula1>0</formula1>
    </dataValidation>
    <dataValidation type="decimal" errorStyle="information" allowBlank="1" showInputMessage="1" showErrorMessage="1" errorTitle="Angle de la rampe" error="Il est conseillé d'incliner à rampe entre 75° et 85° par rapport à l'horizontale._x000a_This Angle is recommended between 75° &amp; 85°." sqref="C19:D19" xr:uid="{FB0E1075-A2F8-A445-A1E3-BFA576042875}">
      <formula1>75</formula1>
      <formula2>85</formula2>
    </dataValidation>
    <dataValidation type="whole" operator="greaterThanOrEqual" allowBlank="1" showErrorMessage="1" sqref="C20:D20" xr:uid="{05AE5CAE-EEC9-5144-BDF7-AEB5F6768317}">
      <formula1>0</formula1>
    </dataValidation>
    <dataValidation type="whole" allowBlank="1" showErrorMessage="1" sqref="M40" xr:uid="{A53F8416-9C11-FD46-85BC-C07A290F8F05}">
      <formula1>-360</formula1>
      <formula2>360</formula2>
    </dataValidation>
    <dataValidation type="list" showInputMessage="1" showErrorMessage="1" sqref="D23" xr:uid="{4B0E120E-FA21-824C-900D-2346F40E4978}">
      <formula1>Menu_sat</formula1>
    </dataValidation>
    <dataValidation type="whole" operator="greaterThanOrEqual" showErrorMessage="1" sqref="B43 B45 B51 B53" xr:uid="{C264CD69-A1D3-0A47-A6BE-F3F8552A52F0}">
      <formula1>0</formula1>
    </dataValidation>
    <dataValidation type="list" showInputMessage="1" showErrorMessage="1" sqref="C25" xr:uid="{633D7300-3070-4647-B06B-AE4FE1944B00}">
      <formula1>IF(Depotage&lt;&gt;0,IF(LEFT(Type_propu,5)="Micro",$F$108,$F$103:$F$108),$F$102)</formula1>
    </dataValidation>
  </dataValidations>
  <hyperlinks>
    <hyperlink ref="B11" location="Stabilito!C17" display="Stabilito!C17" xr:uid="{95E1AAD1-320C-B54A-A31C-70F8CC967851}"/>
  </hyperlinks>
  <printOptions horizontalCentered="1" verticalCentered="1"/>
  <pageMargins left="7.874015748031496E-2" right="7.874015748031496E-2" top="7.874015748031496E-2" bottom="7.874015748031496E-2" header="0" footer="0"/>
  <pageSetup paperSize="9" firstPageNumber="0" orientation="landscape" horizontalDpi="300" verticalDpi="300"/>
  <headerFooter alignWithMargins="0"/>
  <ignoredErrors>
    <ignoredError sqref="B126:B132 B138:B149 C149 C151 C136:C138 C140:C147 C124:C130" formula="1"/>
    <ignoredError sqref="H44:I44 H47 J44:M44" evalError="1"/>
    <ignoredError sqref="G103:G107" numberStoredAsText="1"/>
    <ignoredError sqref="D24" unlockedFormula="1"/>
  </ignoredErrors>
  <drawing r:id="rId1"/>
  <legacyDrawing r:id="rId2"/>
  <oleObjects>
    <mc:AlternateContent xmlns:mc="http://schemas.openxmlformats.org/markup-compatibility/2006">
      <mc:Choice Requires="x14">
        <oleObject progId="Equation.3" shapeId="1425294" r:id="rId3">
          <objectPr defaultSize="0" autoPict="0" r:id="rId4">
            <anchor moveWithCells="1">
              <from>
                <xdr:col>1</xdr:col>
                <xdr:colOff>28575</xdr:colOff>
                <xdr:row>93</xdr:row>
                <xdr:rowOff>66675</xdr:rowOff>
              </from>
              <to>
                <xdr:col>4</xdr:col>
                <xdr:colOff>66675</xdr:colOff>
                <xdr:row>99</xdr:row>
                <xdr:rowOff>76200</xdr:rowOff>
              </to>
            </anchor>
          </objectPr>
        </oleObject>
      </mc:Choice>
      <mc:Fallback>
        <oleObject progId="Equation.3" shapeId="1425294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24424" r:id="rId5" name="Spinner 1064">
              <controlPr defaultSize="0" print="0" autoPict="0">
                <anchor moveWithCells="1" sizeWithCells="1">
                  <from>
                    <xdr:col>3</xdr:col>
                    <xdr:colOff>695325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89" r:id="rId6" name="Spinner 1229">
              <controlPr defaultSize="0" print="0" autoPict="0">
                <anchor moveWithCells="1" sizeWithCells="1">
                  <from>
                    <xdr:col>1</xdr:col>
                    <xdr:colOff>1076325</xdr:colOff>
                    <xdr:row>42</xdr:row>
                    <xdr:rowOff>9525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0" r:id="rId7" name="Spinner 1230">
              <controlPr defaultSize="0" print="0" autoPict="0">
                <anchor moveWithCells="1" sizeWithCells="1">
                  <from>
                    <xdr:col>1</xdr:col>
                    <xdr:colOff>1076325</xdr:colOff>
                    <xdr:row>44</xdr:row>
                    <xdr:rowOff>9525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591" r:id="rId8" name="Spinner 1231">
              <controlPr defaultSize="0" print="0" autoPict="0">
                <anchor moveWithCells="1" sizeWithCells="1">
                  <from>
                    <xdr:col>1</xdr:col>
                    <xdr:colOff>1076325</xdr:colOff>
                    <xdr:row>50</xdr:row>
                    <xdr:rowOff>9525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462" r:id="rId9" name="Spinner 4550">
              <controlPr defaultSize="0" print="0" autoPict="0">
                <anchor moveWithCells="1" sizeWithCells="1">
                  <from>
                    <xdr:col>1</xdr:col>
                    <xdr:colOff>1076325</xdr:colOff>
                    <xdr:row>52</xdr:row>
                    <xdr:rowOff>9525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A0A7-AD4E-E44C-BCAC-AA55AD3B74D4}">
  <sheetPr codeName="Feuil3">
    <pageSetUpPr fitToPage="1"/>
  </sheetPr>
  <dimension ref="B75:B146"/>
  <sheetViews>
    <sheetView showGridLines="0" topLeftCell="A10" zoomScaleNormal="100" workbookViewId="0"/>
  </sheetViews>
  <sheetFormatPr baseColWidth="10" defaultRowHeight="12.75" x14ac:dyDescent="0.2"/>
  <sheetData>
    <row r="75" spans="2:2" x14ac:dyDescent="0.2">
      <c r="B75" t="s">
        <v>44</v>
      </c>
    </row>
    <row r="76" spans="2:2" x14ac:dyDescent="0.2">
      <c r="B76" t="str">
        <f>IF(Lang="Français","Ces courbes représentent la trajectoire de la fusée dans l'hypothèse d'une descente balistique (sans ouverture du parachute). ","These curves show the rocket trajectory in case of ballistic fall (without parachute).")</f>
        <v xml:space="preserve">Ces courbes représentent la trajectoire de la fusée dans l'hypothèse d'une descente balistique (sans ouverture du parachute). </v>
      </c>
    </row>
    <row r="77" spans="2:2" x14ac:dyDescent="0.2">
      <c r="B77" t="str">
        <f>IF(Lang="Français","L'accélération longitudinale gravitationnelle définit le mouvement (dérivée de la vitesse) : Acc = (Poussee - Traînée ± Poids) / m",IF(Lang="English","Longitudinal Gravitaionnal Acceleration defines the motion (velocity derivative) : Acc = (Thrust - Drag ± Weight)/m",""))</f>
        <v>L'accélération longitudinale gravitationnelle définit le mouvement (dérivée de la vitesse) : Acc = (Poussee - Traînée ± Poids) / m</v>
      </c>
    </row>
    <row r="78" spans="2:2" x14ac:dyDescent="0.2">
      <c r="B78" t="str">
        <f>IF(Lang="Français","La charge ''non-gravitationnelle'' vue par un capteur d'accélération (masse-ressort) est : Charge = (Poussée - Traînée) / m",IF(Lang="English","''Non-Gravitaionnal'' Load seen by an acceleration sensor (mass-spring) is : Load = (Thrust - Drag) / m",""))</f>
        <v>La charge ''non-gravitationnelle'' vue par un capteur d'accélération (masse-ressort) est : Charge = (Poussée - Traînée) / m</v>
      </c>
    </row>
    <row r="79" spans="2:2" x14ac:dyDescent="0.2">
      <c r="B79" t="str">
        <f>IF(Lang="Français","Exemples : Si Poussée = Poids, Vitesse constante, Acc nulle, Charge = 1G ; En chute libre, Acc = -1G, Charge = 0",IF(Lang="English","",""))</f>
        <v>Exemples : Si Poussée = Poids, Vitesse constante, Acc nulle, Charge = 1G ; En chute libre, Acc = -1G, Charge = 0</v>
      </c>
    </row>
    <row r="131" spans="2:2" x14ac:dyDescent="0.2">
      <c r="B131" s="24" t="str">
        <f>IF(Lang="Français","Textes pour les graphiques :","Texts for graphics :")</f>
        <v>Textes pour les graphiques :</v>
      </c>
    </row>
    <row r="133" spans="2:2" x14ac:dyDescent="0.2">
      <c r="B133" t="str">
        <f>IF(Lang="Français","Traînée",IF(Lang="English","Drag",""))</f>
        <v>Traînée</v>
      </c>
    </row>
    <row r="134" spans="2:2" x14ac:dyDescent="0.2">
      <c r="B134" t="str">
        <f>IF(Lang="Français","Poussée",IF(Lang="English","Thrust",""))</f>
        <v>Poussée</v>
      </c>
    </row>
    <row r="135" spans="2:2" x14ac:dyDescent="0.2">
      <c r="B135" t="str">
        <f>IF(Lang="Français","Poids",IF(Lang="English","Weight",""))</f>
        <v>Poids</v>
      </c>
    </row>
    <row r="137" spans="2:2" x14ac:dyDescent="0.2">
      <c r="B137" t="str">
        <f>IF(Lang="Français","Accélération longitudinale",IF(Lang="English","Longitudinal Acceleration",""))</f>
        <v>Accélération longitudinale</v>
      </c>
    </row>
    <row r="138" spans="2:2" x14ac:dyDescent="0.2">
      <c r="B138" t="str">
        <f>IF(Lang="Français","Charge vue par un capteur",IF(Lang="English","Load seen by a sensor",""))</f>
        <v>Charge vue par un capteur</v>
      </c>
    </row>
    <row r="140" spans="2:2" x14ac:dyDescent="0.2">
      <c r="B140" t="str">
        <f>IF(Lang="Français","Vitesse",IF(Lang="English","Velocity",""))</f>
        <v>Vitesse</v>
      </c>
    </row>
    <row r="141" spans="2:2" x14ac:dyDescent="0.2">
      <c r="B141" t="str">
        <f>IF(Lang="Français","Vitesse [m/s]",IF(Lang="English","Velocity [m/s]",""))</f>
        <v>Vitesse [m/s]</v>
      </c>
    </row>
    <row r="143" spans="2:2" x14ac:dyDescent="0.2">
      <c r="B143" t="s">
        <v>6</v>
      </c>
    </row>
    <row r="144" spans="2:2" x14ac:dyDescent="0.2">
      <c r="B144" t="str">
        <f>IF(Lang="Français","Portée",IF(Lang="English","Range",""))</f>
        <v>Portée</v>
      </c>
    </row>
    <row r="146" spans="2:2" x14ac:dyDescent="0.2">
      <c r="B146" t="str">
        <f>IF(Lang="Français","Temps [s]",IF(Lang="English","Time [s]",""))</f>
        <v>Temps [s]</v>
      </c>
    </row>
  </sheetData>
  <sheetProtection password="C6AC" sheet="1"/>
  <phoneticPr fontId="8" type="noConversion"/>
  <printOptions horizontalCentered="1" verticalCentered="1"/>
  <pageMargins left="0.39370078740157483" right="0.39370078740157483" top="0.39370078740157483" bottom="0.39370078740157483" header="0" footer="0"/>
  <pageSetup scale="76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CF22-6776-D543-B528-C84391F2E860}">
  <sheetPr codeName="Feuil5">
    <pageSetUpPr fitToPage="1"/>
  </sheetPr>
  <dimension ref="A1:Z336"/>
  <sheetViews>
    <sheetView showGridLines="0" zoomScale="115" zoomScaleNormal="115" workbookViewId="0">
      <selection activeCell="V194" sqref="V194"/>
    </sheetView>
  </sheetViews>
  <sheetFormatPr baseColWidth="10" defaultRowHeight="12.75" x14ac:dyDescent="0.2"/>
  <cols>
    <col min="1" max="1" width="22.7109375" bestFit="1" customWidth="1"/>
  </cols>
  <sheetData>
    <row r="1" spans="1:26" ht="13.5" thickBot="1" x14ac:dyDescent="0.25">
      <c r="A1" s="362" t="str">
        <f>IF(Lang="Français","Moteur sélectionné","Selected motor")</f>
        <v>Moteur sélectionné</v>
      </c>
      <c r="B1" s="362" t="s">
        <v>32</v>
      </c>
    </row>
    <row r="2" spans="1:26" ht="13.5" thickBot="1" x14ac:dyDescent="0.25">
      <c r="A2" s="352" t="str">
        <f>Propu</f>
        <v>Barasinga (Pro54-5G)</v>
      </c>
      <c r="B2" s="352">
        <f>VLOOKUP(A2,A26:B304,2,FALSE)</f>
        <v>274</v>
      </c>
      <c r="C2" s="363" t="s">
        <v>118</v>
      </c>
      <c r="D2" s="353">
        <f ca="1">INDIRECT(ADDRESS(B2,4))</f>
        <v>2058.37</v>
      </c>
      <c r="E2" s="363" t="s">
        <v>117</v>
      </c>
      <c r="F2" s="354">
        <f ca="1">INDIRECT(ADDRESS(B2,6))</f>
        <v>203.12066731598335</v>
      </c>
      <c r="G2" s="363" t="s">
        <v>59</v>
      </c>
      <c r="H2" s="355">
        <f ca="1">INDIRECT(ADDRESS(B2,8))</f>
        <v>1.6850000000000001</v>
      </c>
      <c r="I2" s="363" t="s">
        <v>278</v>
      </c>
      <c r="J2" s="356">
        <f ca="1">INDIRECT(ADDRESS(B2,10))</f>
        <v>1.0329999999999999</v>
      </c>
      <c r="K2" s="363" t="s">
        <v>61</v>
      </c>
      <c r="L2" s="355">
        <f ca="1">INDIRECT(ADDRESS(B2,12))</f>
        <v>0.65200000000000002</v>
      </c>
      <c r="M2" s="363" t="s">
        <v>60</v>
      </c>
      <c r="N2" s="357">
        <f ca="1">INDIRECT(ADDRESS(B2,14))</f>
        <v>250</v>
      </c>
      <c r="O2" s="363" t="s">
        <v>62</v>
      </c>
      <c r="P2" s="357">
        <f ca="1">INDIRECT(ADDRESS(B2,16))</f>
        <v>240</v>
      </c>
      <c r="Q2" s="363" t="s">
        <v>63</v>
      </c>
      <c r="R2" s="357">
        <f ca="1">INDIRECT(ADDRESS(B2,18))</f>
        <v>488</v>
      </c>
      <c r="S2" s="363" t="s">
        <v>64</v>
      </c>
      <c r="T2" s="357">
        <f ca="1">INDIRECT(ADDRESS(B2,20))</f>
        <v>54</v>
      </c>
      <c r="U2" s="363" t="s">
        <v>57</v>
      </c>
      <c r="V2" s="358" t="str">
        <f ca="1">INDIRECT(ADDRESS(B2,22))</f>
        <v>Fusex</v>
      </c>
      <c r="W2" s="463" t="s">
        <v>400</v>
      </c>
      <c r="X2" s="464">
        <f ca="1">INDIRECT(ADDRESS(B2,24))</f>
        <v>0</v>
      </c>
      <c r="Y2" s="463" t="s">
        <v>399</v>
      </c>
      <c r="Z2" s="358">
        <f ca="1">INDIRECT(ADDRESS(B2,26))</f>
        <v>0</v>
      </c>
    </row>
    <row r="3" spans="1:26" x14ac:dyDescent="0.2">
      <c r="A3" s="362" t="str">
        <f>IF(Lang="Français","Temps (en s)","Time (s)")</f>
        <v>Temps (en s)</v>
      </c>
      <c r="B3" s="364">
        <f t="shared" ref="B3:Y3" ca="1" si="0">INDIRECT(ADDRESS($B2+1,COLUMN(B3)))</f>
        <v>0</v>
      </c>
      <c r="C3" s="365">
        <f t="shared" ca="1" si="0"/>
        <v>0.05</v>
      </c>
      <c r="D3" s="365">
        <f t="shared" ca="1" si="0"/>
        <v>0.5</v>
      </c>
      <c r="E3" s="365">
        <f t="shared" ca="1" si="0"/>
        <v>1</v>
      </c>
      <c r="F3" s="365">
        <f t="shared" ca="1" si="0"/>
        <v>1.5</v>
      </c>
      <c r="G3" s="365">
        <f t="shared" ca="1" si="0"/>
        <v>2</v>
      </c>
      <c r="H3" s="365">
        <f t="shared" ca="1" si="0"/>
        <v>2.5</v>
      </c>
      <c r="I3" s="365">
        <f t="shared" ca="1" si="0"/>
        <v>2.97</v>
      </c>
      <c r="J3" s="365">
        <f t="shared" ca="1" si="0"/>
        <v>3.2</v>
      </c>
      <c r="K3" s="365">
        <f t="shared" ca="1" si="0"/>
        <v>3.47</v>
      </c>
      <c r="L3" s="365">
        <f t="shared" ca="1" si="0"/>
        <v>3.59</v>
      </c>
      <c r="M3" s="365">
        <f t="shared" ca="1" si="0"/>
        <v>3.59</v>
      </c>
      <c r="N3" s="365">
        <f t="shared" ca="1" si="0"/>
        <v>3.59</v>
      </c>
      <c r="O3" s="365">
        <f t="shared" ca="1" si="0"/>
        <v>3.59</v>
      </c>
      <c r="P3" s="365">
        <f t="shared" ca="1" si="0"/>
        <v>3.59</v>
      </c>
      <c r="Q3" s="365">
        <f t="shared" ca="1" si="0"/>
        <v>3.59</v>
      </c>
      <c r="R3" s="365">
        <f t="shared" ca="1" si="0"/>
        <v>3.59</v>
      </c>
      <c r="S3" s="365">
        <f t="shared" ca="1" si="0"/>
        <v>3.59</v>
      </c>
      <c r="T3" s="365">
        <f t="shared" ca="1" si="0"/>
        <v>3.59</v>
      </c>
      <c r="U3" s="365">
        <f t="shared" ca="1" si="0"/>
        <v>3.59</v>
      </c>
      <c r="V3" s="365">
        <f t="shared" ca="1" si="0"/>
        <v>3.59</v>
      </c>
      <c r="W3" s="365">
        <f t="shared" ca="1" si="0"/>
        <v>3.59</v>
      </c>
      <c r="X3" s="365">
        <f ca="1">INDIRECT(ADDRESS($B2+1,COLUMN(X3)))</f>
        <v>3.59</v>
      </c>
      <c r="Y3" s="366">
        <f t="shared" ca="1" si="0"/>
        <v>1000</v>
      </c>
    </row>
    <row r="4" spans="1:26" ht="13.5" thickBot="1" x14ac:dyDescent="0.25">
      <c r="A4" s="379" t="str">
        <f>IF(Lang="Français","Poussée (en N)","Thrust (N)")</f>
        <v>Poussée (en N)</v>
      </c>
      <c r="B4" s="367">
        <f t="shared" ref="B4:Y4" ca="1" si="1">INDIRECT(ADDRESS($B2+2,COLUMN(B3)))</f>
        <v>0</v>
      </c>
      <c r="C4" s="368">
        <f t="shared" ca="1" si="1"/>
        <v>893</v>
      </c>
      <c r="D4" s="368">
        <f t="shared" ca="1" si="1"/>
        <v>798</v>
      </c>
      <c r="E4" s="368">
        <f t="shared" ca="1" si="1"/>
        <v>739</v>
      </c>
      <c r="F4" s="368">
        <f t="shared" ca="1" si="1"/>
        <v>659</v>
      </c>
      <c r="G4" s="368">
        <f t="shared" ca="1" si="1"/>
        <v>586</v>
      </c>
      <c r="H4" s="368">
        <f t="shared" ca="1" si="1"/>
        <v>513</v>
      </c>
      <c r="I4" s="368">
        <f t="shared" ca="1" si="1"/>
        <v>417</v>
      </c>
      <c r="J4" s="368">
        <f t="shared" ca="1" si="1"/>
        <v>225</v>
      </c>
      <c r="K4" s="368">
        <f t="shared" ca="1" si="1"/>
        <v>67</v>
      </c>
      <c r="L4" s="368">
        <f t="shared" ca="1" si="1"/>
        <v>0</v>
      </c>
      <c r="M4" s="368">
        <f t="shared" ca="1" si="1"/>
        <v>0</v>
      </c>
      <c r="N4" s="368">
        <f t="shared" ca="1" si="1"/>
        <v>0</v>
      </c>
      <c r="O4" s="368">
        <f t="shared" ca="1" si="1"/>
        <v>0</v>
      </c>
      <c r="P4" s="368">
        <f t="shared" ca="1" si="1"/>
        <v>0</v>
      </c>
      <c r="Q4" s="368">
        <f t="shared" ca="1" si="1"/>
        <v>0</v>
      </c>
      <c r="R4" s="368">
        <f t="shared" ca="1" si="1"/>
        <v>0</v>
      </c>
      <c r="S4" s="368">
        <f t="shared" ca="1" si="1"/>
        <v>0</v>
      </c>
      <c r="T4" s="368">
        <f t="shared" ca="1" si="1"/>
        <v>0</v>
      </c>
      <c r="U4" s="368">
        <f t="shared" ca="1" si="1"/>
        <v>0</v>
      </c>
      <c r="V4" s="368">
        <f t="shared" ca="1" si="1"/>
        <v>0</v>
      </c>
      <c r="W4" s="368">
        <f t="shared" ca="1" si="1"/>
        <v>0</v>
      </c>
      <c r="X4" s="368">
        <f ca="1">INDIRECT(ADDRESS($B2+2,COLUMN(X3)))</f>
        <v>0</v>
      </c>
      <c r="Y4" s="369">
        <f t="shared" ca="1" si="1"/>
        <v>0</v>
      </c>
    </row>
    <row r="5" spans="1:26" x14ac:dyDescent="0.2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6" x14ac:dyDescent="0.2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6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26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26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26" x14ac:dyDescent="0.2">
      <c r="B10" s="12"/>
      <c r="C10" s="12"/>
      <c r="D10" s="12"/>
      <c r="E10" s="12"/>
      <c r="F10" s="12"/>
      <c r="G10" s="12"/>
      <c r="H10" s="12"/>
      <c r="I10" s="12"/>
      <c r="J10" s="12"/>
    </row>
    <row r="11" spans="1:26" x14ac:dyDescent="0.2">
      <c r="B11" s="12"/>
      <c r="C11" s="12"/>
      <c r="D11" s="12"/>
      <c r="E11" s="12"/>
      <c r="F11" s="12"/>
      <c r="G11" s="12"/>
      <c r="H11" s="12"/>
      <c r="I11" s="12"/>
      <c r="J11" s="12"/>
    </row>
    <row r="12" spans="1:26" x14ac:dyDescent="0.2">
      <c r="B12" s="12"/>
      <c r="C12" s="12"/>
      <c r="D12" s="12"/>
      <c r="E12" s="12"/>
      <c r="F12" s="12"/>
      <c r="G12" s="12"/>
      <c r="H12" s="12"/>
      <c r="I12" s="12"/>
      <c r="J12" s="12"/>
    </row>
    <row r="13" spans="1:26" x14ac:dyDescent="0.2">
      <c r="B13" s="12"/>
      <c r="C13" s="12"/>
      <c r="D13" s="12"/>
      <c r="E13" s="12"/>
      <c r="F13" s="12"/>
      <c r="G13" s="12"/>
      <c r="H13" s="12"/>
      <c r="I13" s="12"/>
      <c r="J13" s="12"/>
    </row>
    <row r="14" spans="1:26" x14ac:dyDescent="0.2">
      <c r="B14" s="12"/>
      <c r="C14" s="12"/>
      <c r="D14" s="12"/>
      <c r="E14" s="12"/>
      <c r="F14" s="12"/>
      <c r="G14" s="12"/>
      <c r="H14" s="12"/>
      <c r="I14" s="12"/>
      <c r="J14" s="12"/>
    </row>
    <row r="15" spans="1:26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26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25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25" x14ac:dyDescent="0.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 x14ac:dyDescent="0.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x14ac:dyDescent="0.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x14ac:dyDescent="0.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5" spans="1:25" ht="13.5" thickBot="1" x14ac:dyDescent="0.25">
      <c r="A25" s="6" t="s">
        <v>281</v>
      </c>
    </row>
    <row r="26" spans="1:25" ht="13.5" thickBot="1" x14ac:dyDescent="0.25">
      <c r="A26" s="361" t="s">
        <v>314</v>
      </c>
      <c r="B26" s="359">
        <f>ROW(A26)</f>
        <v>26</v>
      </c>
      <c r="C26" s="363" t="s">
        <v>118</v>
      </c>
      <c r="D26" s="353">
        <f>SUM(B29:Y29)</f>
        <v>9.8449999999999989</v>
      </c>
      <c r="E26" s="363" t="s">
        <v>117</v>
      </c>
      <c r="F26" s="399">
        <f>D26/g/J26</f>
        <v>3.3452259599048584</v>
      </c>
      <c r="G26" s="363" t="s">
        <v>59</v>
      </c>
      <c r="H26" s="64">
        <v>0.3</v>
      </c>
      <c r="I26" s="363" t="s">
        <v>276</v>
      </c>
      <c r="J26" s="355">
        <f>H26-L26</f>
        <v>0.3</v>
      </c>
      <c r="K26" s="363" t="s">
        <v>277</v>
      </c>
      <c r="L26" s="64">
        <v>0</v>
      </c>
      <c r="M26" s="363" t="s">
        <v>60</v>
      </c>
      <c r="N26" s="65">
        <f>0.2*R26</f>
        <v>60</v>
      </c>
      <c r="O26" s="363" t="s">
        <v>62</v>
      </c>
      <c r="P26" s="65">
        <v>150</v>
      </c>
      <c r="Q26" s="363" t="s">
        <v>63</v>
      </c>
      <c r="R26" s="65">
        <v>300</v>
      </c>
      <c r="S26" s="363" t="s">
        <v>64</v>
      </c>
      <c r="T26" s="65">
        <v>90</v>
      </c>
      <c r="U26" s="363" t="s">
        <v>57</v>
      </c>
      <c r="V26" s="66" t="s">
        <v>281</v>
      </c>
      <c r="W26" s="12"/>
      <c r="X26" s="12"/>
      <c r="Y26" s="12"/>
    </row>
    <row r="27" spans="1:25" x14ac:dyDescent="0.2">
      <c r="A27" s="362" t="s">
        <v>33</v>
      </c>
      <c r="B27" s="370">
        <v>0</v>
      </c>
      <c r="C27" s="371">
        <v>1E-3</v>
      </c>
      <c r="D27" s="371">
        <v>0.02</v>
      </c>
      <c r="E27" s="371">
        <v>3.7999999999999999E-2</v>
      </c>
      <c r="F27" s="371">
        <v>0.04</v>
      </c>
      <c r="G27" s="371">
        <v>0.04</v>
      </c>
      <c r="H27" s="371">
        <v>0.04</v>
      </c>
      <c r="I27" s="371">
        <v>0.04</v>
      </c>
      <c r="J27" s="371">
        <v>0.04</v>
      </c>
      <c r="K27" s="371">
        <v>0.04</v>
      </c>
      <c r="L27" s="371">
        <v>0.04</v>
      </c>
      <c r="M27" s="371">
        <v>0.04</v>
      </c>
      <c r="N27" s="371">
        <v>0.04</v>
      </c>
      <c r="O27" s="371">
        <v>0.04</v>
      </c>
      <c r="P27" s="371">
        <v>0.04</v>
      </c>
      <c r="Q27" s="371">
        <v>0.04</v>
      </c>
      <c r="R27" s="371">
        <v>0.04</v>
      </c>
      <c r="S27" s="371">
        <v>0.04</v>
      </c>
      <c r="T27" s="371">
        <v>0.04</v>
      </c>
      <c r="U27" s="371">
        <v>0.04</v>
      </c>
      <c r="V27" s="371">
        <v>0.04</v>
      </c>
      <c r="W27" s="371">
        <v>0.04</v>
      </c>
      <c r="X27" s="371">
        <v>0.04</v>
      </c>
      <c r="Y27" s="381">
        <v>1000</v>
      </c>
    </row>
    <row r="28" spans="1:25" x14ac:dyDescent="0.2">
      <c r="A28" s="378" t="s">
        <v>34</v>
      </c>
      <c r="B28" s="372">
        <v>0</v>
      </c>
      <c r="C28" s="373">
        <v>310</v>
      </c>
      <c r="D28" s="373">
        <v>250</v>
      </c>
      <c r="E28" s="373">
        <v>212</v>
      </c>
      <c r="F28" s="373">
        <v>0</v>
      </c>
      <c r="G28" s="373">
        <v>0</v>
      </c>
      <c r="H28" s="373">
        <v>0</v>
      </c>
      <c r="I28" s="373">
        <v>0</v>
      </c>
      <c r="J28" s="373">
        <v>0</v>
      </c>
      <c r="K28" s="373">
        <v>0</v>
      </c>
      <c r="L28" s="373">
        <v>0</v>
      </c>
      <c r="M28" s="373">
        <v>0</v>
      </c>
      <c r="N28" s="373">
        <v>0</v>
      </c>
      <c r="O28" s="373">
        <v>0</v>
      </c>
      <c r="P28" s="373">
        <v>0</v>
      </c>
      <c r="Q28" s="373">
        <v>0</v>
      </c>
      <c r="R28" s="373">
        <v>0</v>
      </c>
      <c r="S28" s="373">
        <v>0</v>
      </c>
      <c r="T28" s="373">
        <v>0</v>
      </c>
      <c r="U28" s="373">
        <v>0</v>
      </c>
      <c r="V28" s="373">
        <v>0</v>
      </c>
      <c r="W28" s="373">
        <v>0</v>
      </c>
      <c r="X28" s="373">
        <v>0</v>
      </c>
      <c r="Y28" s="382">
        <v>0</v>
      </c>
    </row>
    <row r="29" spans="1:25" ht="13.5" thickBot="1" x14ac:dyDescent="0.25">
      <c r="A29" s="379" t="s">
        <v>119</v>
      </c>
      <c r="B29" s="374">
        <f t="shared" ref="B29:X29" si="2">(C28+B28)*(C27-B27)/2</f>
        <v>0.155</v>
      </c>
      <c r="C29" s="375">
        <f t="shared" si="2"/>
        <v>5.32</v>
      </c>
      <c r="D29" s="375">
        <f t="shared" si="2"/>
        <v>4.1579999999999995</v>
      </c>
      <c r="E29" s="375">
        <f t="shared" si="2"/>
        <v>0.21200000000000019</v>
      </c>
      <c r="F29" s="375">
        <f t="shared" si="2"/>
        <v>0</v>
      </c>
      <c r="G29" s="375">
        <f t="shared" si="2"/>
        <v>0</v>
      </c>
      <c r="H29" s="375">
        <f t="shared" si="2"/>
        <v>0</v>
      </c>
      <c r="I29" s="375">
        <f t="shared" si="2"/>
        <v>0</v>
      </c>
      <c r="J29" s="375">
        <f t="shared" si="2"/>
        <v>0</v>
      </c>
      <c r="K29" s="375">
        <f t="shared" si="2"/>
        <v>0</v>
      </c>
      <c r="L29" s="375">
        <f t="shared" si="2"/>
        <v>0</v>
      </c>
      <c r="M29" s="375">
        <f t="shared" si="2"/>
        <v>0</v>
      </c>
      <c r="N29" s="375">
        <f t="shared" si="2"/>
        <v>0</v>
      </c>
      <c r="O29" s="375">
        <f t="shared" si="2"/>
        <v>0</v>
      </c>
      <c r="P29" s="375">
        <f t="shared" si="2"/>
        <v>0</v>
      </c>
      <c r="Q29" s="375">
        <f t="shared" si="2"/>
        <v>0</v>
      </c>
      <c r="R29" s="375">
        <f t="shared" si="2"/>
        <v>0</v>
      </c>
      <c r="S29" s="375">
        <f t="shared" si="2"/>
        <v>0</v>
      </c>
      <c r="T29" s="375">
        <f t="shared" si="2"/>
        <v>0</v>
      </c>
      <c r="U29" s="375">
        <f t="shared" si="2"/>
        <v>0</v>
      </c>
      <c r="V29" s="375">
        <f t="shared" si="2"/>
        <v>0</v>
      </c>
      <c r="W29" s="375">
        <f t="shared" si="2"/>
        <v>0</v>
      </c>
      <c r="X29" s="375">
        <f t="shared" si="2"/>
        <v>0</v>
      </c>
      <c r="Y29" s="369"/>
    </row>
    <row r="30" spans="1:25" ht="13.5" thickBot="1" x14ac:dyDescent="0.25">
      <c r="A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3.5" thickBot="1" x14ac:dyDescent="0.25">
      <c r="A31" s="361" t="s">
        <v>315</v>
      </c>
      <c r="B31" s="359">
        <f>ROW(A31)</f>
        <v>31</v>
      </c>
      <c r="C31" s="363" t="s">
        <v>118</v>
      </c>
      <c r="D31" s="353">
        <f>SUM(B34:Y34)</f>
        <v>13.814500000000002</v>
      </c>
      <c r="E31" s="363" t="s">
        <v>117</v>
      </c>
      <c r="F31" s="399">
        <f>D31/g/J31</f>
        <v>3.1293464718541175</v>
      </c>
      <c r="G31" s="363" t="s">
        <v>59</v>
      </c>
      <c r="H31" s="64">
        <v>0.45</v>
      </c>
      <c r="I31" s="363" t="s">
        <v>276</v>
      </c>
      <c r="J31" s="355">
        <f>H31-L31</f>
        <v>0.45</v>
      </c>
      <c r="K31" s="363" t="s">
        <v>277</v>
      </c>
      <c r="L31" s="64">
        <v>0</v>
      </c>
      <c r="M31" s="363" t="s">
        <v>60</v>
      </c>
      <c r="N31" s="65">
        <f>0.3*R31</f>
        <v>90</v>
      </c>
      <c r="O31" s="363" t="s">
        <v>62</v>
      </c>
      <c r="P31" s="65">
        <v>150</v>
      </c>
      <c r="Q31" s="363" t="s">
        <v>63</v>
      </c>
      <c r="R31" s="65">
        <v>300</v>
      </c>
      <c r="S31" s="363" t="s">
        <v>64</v>
      </c>
      <c r="T31" s="65">
        <v>90</v>
      </c>
      <c r="U31" s="363" t="s">
        <v>57</v>
      </c>
      <c r="V31" s="66" t="s">
        <v>281</v>
      </c>
      <c r="W31" s="12"/>
      <c r="X31" s="12"/>
      <c r="Y31" s="12"/>
    </row>
    <row r="32" spans="1:25" x14ac:dyDescent="0.2">
      <c r="A32" s="362" t="s">
        <v>33</v>
      </c>
      <c r="B32" s="370">
        <v>0</v>
      </c>
      <c r="C32" s="371">
        <v>1E-3</v>
      </c>
      <c r="D32" s="371">
        <v>0.02</v>
      </c>
      <c r="E32" s="371">
        <v>0.04</v>
      </c>
      <c r="F32" s="371">
        <v>6.0999999999999999E-2</v>
      </c>
      <c r="G32" s="371">
        <v>6.2E-2</v>
      </c>
      <c r="H32" s="371">
        <v>6.2E-2</v>
      </c>
      <c r="I32" s="371">
        <v>6.2E-2</v>
      </c>
      <c r="J32" s="371">
        <v>6.2E-2</v>
      </c>
      <c r="K32" s="371">
        <v>6.2E-2</v>
      </c>
      <c r="L32" s="371">
        <v>6.2E-2</v>
      </c>
      <c r="M32" s="371">
        <v>6.2E-2</v>
      </c>
      <c r="N32" s="371">
        <v>6.2E-2</v>
      </c>
      <c r="O32" s="371">
        <v>6.2E-2</v>
      </c>
      <c r="P32" s="371">
        <v>6.2E-2</v>
      </c>
      <c r="Q32" s="371">
        <v>6.2E-2</v>
      </c>
      <c r="R32" s="371">
        <v>6.2E-2</v>
      </c>
      <c r="S32" s="371">
        <v>6.2E-2</v>
      </c>
      <c r="T32" s="371">
        <v>6.2E-2</v>
      </c>
      <c r="U32" s="371">
        <v>6.2E-2</v>
      </c>
      <c r="V32" s="371">
        <v>6.2E-2</v>
      </c>
      <c r="W32" s="371">
        <v>6.2E-2</v>
      </c>
      <c r="X32" s="371">
        <v>6.2E-2</v>
      </c>
      <c r="Y32" s="381">
        <v>1000</v>
      </c>
    </row>
    <row r="33" spans="1:25" x14ac:dyDescent="0.2">
      <c r="A33" s="378" t="s">
        <v>34</v>
      </c>
      <c r="B33" s="372">
        <v>0</v>
      </c>
      <c r="C33" s="373">
        <v>310</v>
      </c>
      <c r="D33" s="373">
        <v>245</v>
      </c>
      <c r="E33" s="373">
        <v>200</v>
      </c>
      <c r="F33" s="373">
        <v>167</v>
      </c>
      <c r="G33" s="373">
        <v>0</v>
      </c>
      <c r="H33" s="373">
        <v>0</v>
      </c>
      <c r="I33" s="373">
        <v>0</v>
      </c>
      <c r="J33" s="373">
        <v>0</v>
      </c>
      <c r="K33" s="373">
        <v>0</v>
      </c>
      <c r="L33" s="373">
        <v>0</v>
      </c>
      <c r="M33" s="373">
        <v>0</v>
      </c>
      <c r="N33" s="373">
        <v>0</v>
      </c>
      <c r="O33" s="373">
        <v>0</v>
      </c>
      <c r="P33" s="373">
        <v>0</v>
      </c>
      <c r="Q33" s="373">
        <v>0</v>
      </c>
      <c r="R33" s="373">
        <v>0</v>
      </c>
      <c r="S33" s="373">
        <v>0</v>
      </c>
      <c r="T33" s="373">
        <v>0</v>
      </c>
      <c r="U33" s="373">
        <v>0</v>
      </c>
      <c r="V33" s="373">
        <v>0</v>
      </c>
      <c r="W33" s="373">
        <v>0</v>
      </c>
      <c r="X33" s="373">
        <v>0</v>
      </c>
      <c r="Y33" s="382">
        <v>0</v>
      </c>
    </row>
    <row r="34" spans="1:25" ht="13.5" thickBot="1" x14ac:dyDescent="0.25">
      <c r="A34" s="379" t="s">
        <v>119</v>
      </c>
      <c r="B34" s="374">
        <f t="shared" ref="B34:X34" si="3">(C33+B33)*(C32-B32)/2</f>
        <v>0.155</v>
      </c>
      <c r="C34" s="375">
        <f t="shared" si="3"/>
        <v>5.2725</v>
      </c>
      <c r="D34" s="375">
        <f t="shared" si="3"/>
        <v>4.45</v>
      </c>
      <c r="E34" s="375">
        <f t="shared" si="3"/>
        <v>3.8534999999999995</v>
      </c>
      <c r="F34" s="375">
        <f t="shared" si="3"/>
        <v>8.3500000000000074E-2</v>
      </c>
      <c r="G34" s="375">
        <f t="shared" si="3"/>
        <v>0</v>
      </c>
      <c r="H34" s="375">
        <f t="shared" si="3"/>
        <v>0</v>
      </c>
      <c r="I34" s="375">
        <f t="shared" si="3"/>
        <v>0</v>
      </c>
      <c r="J34" s="375">
        <f t="shared" si="3"/>
        <v>0</v>
      </c>
      <c r="K34" s="375">
        <f t="shared" si="3"/>
        <v>0</v>
      </c>
      <c r="L34" s="375">
        <f t="shared" si="3"/>
        <v>0</v>
      </c>
      <c r="M34" s="375">
        <f t="shared" si="3"/>
        <v>0</v>
      </c>
      <c r="N34" s="375">
        <f t="shared" si="3"/>
        <v>0</v>
      </c>
      <c r="O34" s="375">
        <f t="shared" si="3"/>
        <v>0</v>
      </c>
      <c r="P34" s="375">
        <f t="shared" si="3"/>
        <v>0</v>
      </c>
      <c r="Q34" s="375">
        <f t="shared" si="3"/>
        <v>0</v>
      </c>
      <c r="R34" s="375">
        <f t="shared" si="3"/>
        <v>0</v>
      </c>
      <c r="S34" s="375">
        <f t="shared" si="3"/>
        <v>0</v>
      </c>
      <c r="T34" s="375">
        <f t="shared" si="3"/>
        <v>0</v>
      </c>
      <c r="U34" s="375">
        <f t="shared" si="3"/>
        <v>0</v>
      </c>
      <c r="V34" s="375">
        <f t="shared" si="3"/>
        <v>0</v>
      </c>
      <c r="W34" s="375">
        <f t="shared" si="3"/>
        <v>0</v>
      </c>
      <c r="X34" s="375">
        <f t="shared" si="3"/>
        <v>0</v>
      </c>
      <c r="Y34" s="369"/>
    </row>
    <row r="35" spans="1:25" ht="13.5" thickBot="1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3.5" thickBot="1" x14ac:dyDescent="0.25">
      <c r="A36" s="361" t="s">
        <v>316</v>
      </c>
      <c r="B36" s="359">
        <f>ROW(A36)</f>
        <v>36</v>
      </c>
      <c r="C36" s="363" t="s">
        <v>118</v>
      </c>
      <c r="D36" s="353">
        <f>SUM(B39:Y39)</f>
        <v>17.144499999999997</v>
      </c>
      <c r="E36" s="363" t="s">
        <v>117</v>
      </c>
      <c r="F36" s="399">
        <f>D36/g/J36</f>
        <v>2.9127590893645934</v>
      </c>
      <c r="G36" s="363" t="s">
        <v>59</v>
      </c>
      <c r="H36" s="64">
        <v>0.6</v>
      </c>
      <c r="I36" s="363" t="s">
        <v>276</v>
      </c>
      <c r="J36" s="355">
        <f>H36-L36</f>
        <v>0.6</v>
      </c>
      <c r="K36" s="363" t="s">
        <v>277</v>
      </c>
      <c r="L36" s="64">
        <v>0</v>
      </c>
      <c r="M36" s="363" t="s">
        <v>60</v>
      </c>
      <c r="N36" s="65">
        <f>0.4*R36</f>
        <v>120</v>
      </c>
      <c r="O36" s="363" t="s">
        <v>62</v>
      </c>
      <c r="P36" s="65">
        <v>150</v>
      </c>
      <c r="Q36" s="363" t="s">
        <v>63</v>
      </c>
      <c r="R36" s="65">
        <v>300</v>
      </c>
      <c r="S36" s="363" t="s">
        <v>64</v>
      </c>
      <c r="T36" s="65">
        <v>90</v>
      </c>
      <c r="U36" s="363" t="s">
        <v>57</v>
      </c>
      <c r="V36" s="66" t="s">
        <v>281</v>
      </c>
      <c r="W36" s="12"/>
      <c r="X36" s="12"/>
      <c r="Y36" s="12"/>
    </row>
    <row r="37" spans="1:25" x14ac:dyDescent="0.2">
      <c r="A37" s="362" t="s">
        <v>33</v>
      </c>
      <c r="B37" s="370">
        <v>0</v>
      </c>
      <c r="C37" s="371">
        <v>1E-3</v>
      </c>
      <c r="D37" s="371">
        <v>0.02</v>
      </c>
      <c r="E37" s="371">
        <v>0.04</v>
      </c>
      <c r="F37" s="371">
        <v>0.06</v>
      </c>
      <c r="G37" s="371">
        <v>0.08</v>
      </c>
      <c r="H37" s="371">
        <v>8.7999999999999995E-2</v>
      </c>
      <c r="I37" s="371">
        <v>8.8999999999999996E-2</v>
      </c>
      <c r="J37" s="371">
        <v>8.8999999999999996E-2</v>
      </c>
      <c r="K37" s="371">
        <v>8.8999999999999996E-2</v>
      </c>
      <c r="L37" s="371">
        <v>8.8999999999999996E-2</v>
      </c>
      <c r="M37" s="371">
        <v>8.8999999999999996E-2</v>
      </c>
      <c r="N37" s="371">
        <v>8.8999999999999996E-2</v>
      </c>
      <c r="O37" s="371">
        <v>8.8999999999999996E-2</v>
      </c>
      <c r="P37" s="371">
        <v>8.8999999999999996E-2</v>
      </c>
      <c r="Q37" s="371">
        <v>8.8999999999999996E-2</v>
      </c>
      <c r="R37" s="371">
        <v>8.8999999999999996E-2</v>
      </c>
      <c r="S37" s="371">
        <v>8.8999999999999996E-2</v>
      </c>
      <c r="T37" s="371">
        <v>8.8999999999999996E-2</v>
      </c>
      <c r="U37" s="371">
        <v>8.8999999999999996E-2</v>
      </c>
      <c r="V37" s="371">
        <v>8.8999999999999996E-2</v>
      </c>
      <c r="W37" s="371">
        <v>8.8999999999999996E-2</v>
      </c>
      <c r="X37" s="371">
        <v>8.8999999999999996E-2</v>
      </c>
      <c r="Y37" s="381">
        <v>1000</v>
      </c>
    </row>
    <row r="38" spans="1:25" x14ac:dyDescent="0.2">
      <c r="A38" s="378" t="s">
        <v>34</v>
      </c>
      <c r="B38" s="372">
        <v>0</v>
      </c>
      <c r="C38" s="373">
        <v>310</v>
      </c>
      <c r="D38" s="373">
        <v>240</v>
      </c>
      <c r="E38" s="373">
        <v>190</v>
      </c>
      <c r="F38" s="373">
        <v>157</v>
      </c>
      <c r="G38" s="373">
        <v>133</v>
      </c>
      <c r="H38" s="373">
        <v>125</v>
      </c>
      <c r="I38" s="373">
        <v>0</v>
      </c>
      <c r="J38" s="373">
        <v>0</v>
      </c>
      <c r="K38" s="373">
        <v>0</v>
      </c>
      <c r="L38" s="373">
        <v>0</v>
      </c>
      <c r="M38" s="373">
        <v>0</v>
      </c>
      <c r="N38" s="373">
        <v>0</v>
      </c>
      <c r="O38" s="373">
        <v>0</v>
      </c>
      <c r="P38" s="373">
        <v>0</v>
      </c>
      <c r="Q38" s="373">
        <v>0</v>
      </c>
      <c r="R38" s="373">
        <v>0</v>
      </c>
      <c r="S38" s="373">
        <v>0</v>
      </c>
      <c r="T38" s="373">
        <v>0</v>
      </c>
      <c r="U38" s="373">
        <v>0</v>
      </c>
      <c r="V38" s="373">
        <v>0</v>
      </c>
      <c r="W38" s="373">
        <v>0</v>
      </c>
      <c r="X38" s="373">
        <v>0</v>
      </c>
      <c r="Y38" s="382">
        <v>0</v>
      </c>
    </row>
    <row r="39" spans="1:25" ht="13.5" thickBot="1" x14ac:dyDescent="0.25">
      <c r="A39" s="379" t="s">
        <v>119</v>
      </c>
      <c r="B39" s="374">
        <f t="shared" ref="B39:X39" si="4">(C38+B38)*(C37-B37)/2</f>
        <v>0.155</v>
      </c>
      <c r="C39" s="375">
        <f t="shared" si="4"/>
        <v>5.2249999999999996</v>
      </c>
      <c r="D39" s="375">
        <f t="shared" si="4"/>
        <v>4.3</v>
      </c>
      <c r="E39" s="375">
        <f t="shared" si="4"/>
        <v>3.4699999999999993</v>
      </c>
      <c r="F39" s="375">
        <f t="shared" si="4"/>
        <v>2.9000000000000004</v>
      </c>
      <c r="G39" s="375">
        <f t="shared" si="4"/>
        <v>1.0319999999999991</v>
      </c>
      <c r="H39" s="375">
        <f t="shared" si="4"/>
        <v>6.2500000000000056E-2</v>
      </c>
      <c r="I39" s="375">
        <f t="shared" si="4"/>
        <v>0</v>
      </c>
      <c r="J39" s="375">
        <f t="shared" si="4"/>
        <v>0</v>
      </c>
      <c r="K39" s="375">
        <f t="shared" si="4"/>
        <v>0</v>
      </c>
      <c r="L39" s="375">
        <f t="shared" si="4"/>
        <v>0</v>
      </c>
      <c r="M39" s="375">
        <f t="shared" si="4"/>
        <v>0</v>
      </c>
      <c r="N39" s="375">
        <f t="shared" si="4"/>
        <v>0</v>
      </c>
      <c r="O39" s="375">
        <f t="shared" si="4"/>
        <v>0</v>
      </c>
      <c r="P39" s="375">
        <f t="shared" si="4"/>
        <v>0</v>
      </c>
      <c r="Q39" s="375">
        <f t="shared" si="4"/>
        <v>0</v>
      </c>
      <c r="R39" s="375">
        <f t="shared" si="4"/>
        <v>0</v>
      </c>
      <c r="S39" s="375">
        <f t="shared" si="4"/>
        <v>0</v>
      </c>
      <c r="T39" s="375">
        <f t="shared" si="4"/>
        <v>0</v>
      </c>
      <c r="U39" s="375">
        <f t="shared" si="4"/>
        <v>0</v>
      </c>
      <c r="V39" s="375">
        <f t="shared" si="4"/>
        <v>0</v>
      </c>
      <c r="W39" s="375">
        <f t="shared" si="4"/>
        <v>0</v>
      </c>
      <c r="X39" s="375">
        <f t="shared" si="4"/>
        <v>0</v>
      </c>
      <c r="Y39" s="369"/>
    </row>
    <row r="40" spans="1:25" ht="13.5" thickBot="1" x14ac:dyDescent="0.25">
      <c r="A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3.5" thickBot="1" x14ac:dyDescent="0.25">
      <c r="A41" s="361" t="s">
        <v>317</v>
      </c>
      <c r="B41" s="359">
        <f>ROW(A41)</f>
        <v>41</v>
      </c>
      <c r="C41" s="363" t="s">
        <v>118</v>
      </c>
      <c r="D41" s="353">
        <f>SUM(B44:Y44)</f>
        <v>19.415000000000003</v>
      </c>
      <c r="E41" s="363" t="s">
        <v>117</v>
      </c>
      <c r="F41" s="399">
        <f>D41/g/J41</f>
        <v>2.6388039415562354</v>
      </c>
      <c r="G41" s="363" t="s">
        <v>59</v>
      </c>
      <c r="H41" s="64">
        <v>0.75</v>
      </c>
      <c r="I41" s="363" t="s">
        <v>276</v>
      </c>
      <c r="J41" s="355">
        <f>H41-L41</f>
        <v>0.75</v>
      </c>
      <c r="K41" s="363" t="s">
        <v>277</v>
      </c>
      <c r="L41" s="64">
        <v>0</v>
      </c>
      <c r="M41" s="363" t="s">
        <v>60</v>
      </c>
      <c r="N41" s="65">
        <f>0.5*R41</f>
        <v>150</v>
      </c>
      <c r="O41" s="363" t="s">
        <v>62</v>
      </c>
      <c r="P41" s="65">
        <v>150</v>
      </c>
      <c r="Q41" s="363" t="s">
        <v>63</v>
      </c>
      <c r="R41" s="65">
        <v>300</v>
      </c>
      <c r="S41" s="363" t="s">
        <v>64</v>
      </c>
      <c r="T41" s="65">
        <v>90</v>
      </c>
      <c r="U41" s="363" t="s">
        <v>57</v>
      </c>
      <c r="V41" s="66" t="s">
        <v>281</v>
      </c>
      <c r="W41" s="12"/>
      <c r="X41" s="12"/>
      <c r="Y41" s="12"/>
    </row>
    <row r="42" spans="1:25" x14ac:dyDescent="0.2">
      <c r="A42" s="362" t="s">
        <v>33</v>
      </c>
      <c r="B42" s="370">
        <v>0</v>
      </c>
      <c r="C42" s="371">
        <v>1E-3</v>
      </c>
      <c r="D42" s="371">
        <v>0.02</v>
      </c>
      <c r="E42" s="371">
        <v>0.04</v>
      </c>
      <c r="F42" s="371">
        <v>0.06</v>
      </c>
      <c r="G42" s="371">
        <v>0.08</v>
      </c>
      <c r="H42" s="371">
        <v>0.1</v>
      </c>
      <c r="I42" s="371">
        <v>0.123</v>
      </c>
      <c r="J42" s="371">
        <v>0.124</v>
      </c>
      <c r="K42" s="371">
        <v>0.124</v>
      </c>
      <c r="L42" s="371">
        <v>0.124</v>
      </c>
      <c r="M42" s="371">
        <v>0.124</v>
      </c>
      <c r="N42" s="371">
        <v>0.124</v>
      </c>
      <c r="O42" s="371">
        <v>0.124</v>
      </c>
      <c r="P42" s="371">
        <v>0.124</v>
      </c>
      <c r="Q42" s="371">
        <v>0.124</v>
      </c>
      <c r="R42" s="371">
        <v>0.124</v>
      </c>
      <c r="S42" s="371">
        <v>0.124</v>
      </c>
      <c r="T42" s="371">
        <v>0.124</v>
      </c>
      <c r="U42" s="371">
        <v>0.124</v>
      </c>
      <c r="V42" s="371">
        <v>0.124</v>
      </c>
      <c r="W42" s="371">
        <v>0.124</v>
      </c>
      <c r="X42" s="371">
        <v>0.124</v>
      </c>
      <c r="Y42" s="381">
        <v>1000</v>
      </c>
    </row>
    <row r="43" spans="1:25" x14ac:dyDescent="0.2">
      <c r="A43" s="378" t="s">
        <v>34</v>
      </c>
      <c r="B43" s="372">
        <v>0</v>
      </c>
      <c r="C43" s="373">
        <v>310</v>
      </c>
      <c r="D43" s="373">
        <v>230</v>
      </c>
      <c r="E43" s="373">
        <v>175</v>
      </c>
      <c r="F43" s="373">
        <v>140</v>
      </c>
      <c r="G43" s="373">
        <v>118</v>
      </c>
      <c r="H43" s="373">
        <v>100</v>
      </c>
      <c r="I43" s="373">
        <v>85</v>
      </c>
      <c r="J43" s="373">
        <v>0</v>
      </c>
      <c r="K43" s="373">
        <v>0</v>
      </c>
      <c r="L43" s="373">
        <v>0</v>
      </c>
      <c r="M43" s="373">
        <v>0</v>
      </c>
      <c r="N43" s="373">
        <v>0</v>
      </c>
      <c r="O43" s="373">
        <v>0</v>
      </c>
      <c r="P43" s="373">
        <v>0</v>
      </c>
      <c r="Q43" s="373">
        <v>0</v>
      </c>
      <c r="R43" s="373">
        <v>0</v>
      </c>
      <c r="S43" s="373">
        <v>0</v>
      </c>
      <c r="T43" s="373">
        <v>0</v>
      </c>
      <c r="U43" s="373">
        <v>0</v>
      </c>
      <c r="V43" s="373">
        <v>0</v>
      </c>
      <c r="W43" s="373">
        <v>0</v>
      </c>
      <c r="X43" s="373">
        <v>0</v>
      </c>
      <c r="Y43" s="382">
        <v>0</v>
      </c>
    </row>
    <row r="44" spans="1:25" ht="13.5" thickBot="1" x14ac:dyDescent="0.25">
      <c r="A44" s="379" t="s">
        <v>119</v>
      </c>
      <c r="B44" s="374">
        <f t="shared" ref="B44:X44" si="5">(C43+B43)*(C42-B42)/2</f>
        <v>0.155</v>
      </c>
      <c r="C44" s="375">
        <f t="shared" si="5"/>
        <v>5.13</v>
      </c>
      <c r="D44" s="375">
        <f t="shared" si="5"/>
        <v>4.05</v>
      </c>
      <c r="E44" s="375">
        <f t="shared" si="5"/>
        <v>3.1499999999999995</v>
      </c>
      <c r="F44" s="375">
        <f t="shared" si="5"/>
        <v>2.5800000000000005</v>
      </c>
      <c r="G44" s="375">
        <f t="shared" si="5"/>
        <v>2.1800000000000006</v>
      </c>
      <c r="H44" s="375">
        <f t="shared" si="5"/>
        <v>2.1274999999999995</v>
      </c>
      <c r="I44" s="375">
        <f t="shared" si="5"/>
        <v>4.2500000000000038E-2</v>
      </c>
      <c r="J44" s="375">
        <f t="shared" si="5"/>
        <v>0</v>
      </c>
      <c r="K44" s="375">
        <f t="shared" si="5"/>
        <v>0</v>
      </c>
      <c r="L44" s="375">
        <f t="shared" si="5"/>
        <v>0</v>
      </c>
      <c r="M44" s="375">
        <f t="shared" si="5"/>
        <v>0</v>
      </c>
      <c r="N44" s="375">
        <f t="shared" si="5"/>
        <v>0</v>
      </c>
      <c r="O44" s="375">
        <f t="shared" si="5"/>
        <v>0</v>
      </c>
      <c r="P44" s="375">
        <f t="shared" si="5"/>
        <v>0</v>
      </c>
      <c r="Q44" s="375">
        <f t="shared" si="5"/>
        <v>0</v>
      </c>
      <c r="R44" s="375">
        <f t="shared" si="5"/>
        <v>0</v>
      </c>
      <c r="S44" s="375">
        <f t="shared" si="5"/>
        <v>0</v>
      </c>
      <c r="T44" s="375">
        <f t="shared" si="5"/>
        <v>0</v>
      </c>
      <c r="U44" s="375">
        <f t="shared" si="5"/>
        <v>0</v>
      </c>
      <c r="V44" s="375">
        <f t="shared" si="5"/>
        <v>0</v>
      </c>
      <c r="W44" s="375">
        <f t="shared" si="5"/>
        <v>0</v>
      </c>
      <c r="X44" s="375">
        <f t="shared" si="5"/>
        <v>0</v>
      </c>
      <c r="Y44" s="369"/>
    </row>
    <row r="45" spans="1:25" ht="13.5" thickBot="1" x14ac:dyDescent="0.25"/>
    <row r="46" spans="1:25" ht="13.5" thickBot="1" x14ac:dyDescent="0.25">
      <c r="A46" s="361" t="s">
        <v>282</v>
      </c>
      <c r="B46" s="359">
        <f>ROW(A46)</f>
        <v>46</v>
      </c>
      <c r="C46" s="363" t="s">
        <v>118</v>
      </c>
      <c r="D46" s="353">
        <f>SUM(B49:Y49)</f>
        <v>12.8695</v>
      </c>
      <c r="E46" s="363" t="s">
        <v>117</v>
      </c>
      <c r="F46" s="399">
        <f>D46/g/J46</f>
        <v>3.2796890927624869</v>
      </c>
      <c r="G46" s="363" t="s">
        <v>59</v>
      </c>
      <c r="H46" s="64">
        <v>0.5</v>
      </c>
      <c r="I46" s="363" t="s">
        <v>276</v>
      </c>
      <c r="J46" s="355">
        <f>H46-L46</f>
        <v>0.4</v>
      </c>
      <c r="K46" s="363" t="s">
        <v>277</v>
      </c>
      <c r="L46" s="64">
        <v>0.1</v>
      </c>
      <c r="M46" s="363" t="s">
        <v>60</v>
      </c>
      <c r="N46" s="65">
        <f>0.2*R46</f>
        <v>60</v>
      </c>
      <c r="O46" s="363" t="s">
        <v>62</v>
      </c>
      <c r="P46" s="65">
        <v>150</v>
      </c>
      <c r="Q46" s="363" t="s">
        <v>63</v>
      </c>
      <c r="R46" s="65">
        <v>300</v>
      </c>
      <c r="S46" s="363" t="s">
        <v>64</v>
      </c>
      <c r="T46" s="65">
        <v>98</v>
      </c>
      <c r="U46" s="363" t="s">
        <v>57</v>
      </c>
      <c r="V46" s="66" t="s">
        <v>281</v>
      </c>
      <c r="W46" s="12"/>
      <c r="X46" s="12"/>
      <c r="Y46" s="12"/>
    </row>
    <row r="47" spans="1:25" x14ac:dyDescent="0.2">
      <c r="A47" s="362" t="s">
        <v>33</v>
      </c>
      <c r="B47" s="370">
        <v>0</v>
      </c>
      <c r="C47" s="371">
        <v>1E-3</v>
      </c>
      <c r="D47" s="371">
        <v>0.02</v>
      </c>
      <c r="E47" s="371">
        <v>0.04</v>
      </c>
      <c r="F47" s="371">
        <v>0.05</v>
      </c>
      <c r="G47" s="371">
        <v>5.0999999999999997E-2</v>
      </c>
      <c r="H47" s="371">
        <v>5.0999999999999997E-2</v>
      </c>
      <c r="I47" s="371">
        <v>5.0999999999999997E-2</v>
      </c>
      <c r="J47" s="371">
        <v>5.0999999999999997E-2</v>
      </c>
      <c r="K47" s="371">
        <v>5.0999999999999997E-2</v>
      </c>
      <c r="L47" s="371">
        <v>5.0999999999999997E-2</v>
      </c>
      <c r="M47" s="371">
        <v>5.0999999999999997E-2</v>
      </c>
      <c r="N47" s="371">
        <v>5.0999999999999997E-2</v>
      </c>
      <c r="O47" s="371">
        <v>5.0999999999999997E-2</v>
      </c>
      <c r="P47" s="371">
        <v>5.0999999999999997E-2</v>
      </c>
      <c r="Q47" s="371">
        <v>5.0999999999999997E-2</v>
      </c>
      <c r="R47" s="371">
        <v>5.0999999999999997E-2</v>
      </c>
      <c r="S47" s="371">
        <v>5.0999999999999997E-2</v>
      </c>
      <c r="T47" s="371">
        <v>5.0999999999999997E-2</v>
      </c>
      <c r="U47" s="371">
        <v>5.0999999999999997E-2</v>
      </c>
      <c r="V47" s="371">
        <v>5.0999999999999997E-2</v>
      </c>
      <c r="W47" s="371">
        <v>5.0999999999999997E-2</v>
      </c>
      <c r="X47" s="371">
        <v>5.0999999999999997E-2</v>
      </c>
      <c r="Y47" s="381">
        <v>1000</v>
      </c>
    </row>
    <row r="48" spans="1:25" x14ac:dyDescent="0.2">
      <c r="A48" s="378" t="s">
        <v>34</v>
      </c>
      <c r="B48" s="372">
        <v>0</v>
      </c>
      <c r="C48" s="373">
        <v>310</v>
      </c>
      <c r="D48" s="373">
        <v>264</v>
      </c>
      <c r="E48" s="373">
        <v>230</v>
      </c>
      <c r="F48" s="373">
        <v>213</v>
      </c>
      <c r="G48" s="373">
        <v>0</v>
      </c>
      <c r="H48" s="373">
        <v>0</v>
      </c>
      <c r="I48" s="373">
        <v>0</v>
      </c>
      <c r="J48" s="373">
        <v>0</v>
      </c>
      <c r="K48" s="373">
        <v>0</v>
      </c>
      <c r="L48" s="373">
        <v>0</v>
      </c>
      <c r="M48" s="373">
        <v>0</v>
      </c>
      <c r="N48" s="373">
        <v>0</v>
      </c>
      <c r="O48" s="373">
        <v>0</v>
      </c>
      <c r="P48" s="373">
        <v>0</v>
      </c>
      <c r="Q48" s="373">
        <v>0</v>
      </c>
      <c r="R48" s="373">
        <v>0</v>
      </c>
      <c r="S48" s="373">
        <v>0</v>
      </c>
      <c r="T48" s="373">
        <v>0</v>
      </c>
      <c r="U48" s="373">
        <v>0</v>
      </c>
      <c r="V48" s="373">
        <v>0</v>
      </c>
      <c r="W48" s="373">
        <v>0</v>
      </c>
      <c r="X48" s="373">
        <v>0</v>
      </c>
      <c r="Y48" s="382">
        <v>0</v>
      </c>
    </row>
    <row r="49" spans="1:25" ht="13.5" thickBot="1" x14ac:dyDescent="0.25">
      <c r="A49" s="379" t="s">
        <v>119</v>
      </c>
      <c r="B49" s="374">
        <f t="shared" ref="B49:X49" si="6">(C48+B48)*(C47-B47)/2</f>
        <v>0.155</v>
      </c>
      <c r="C49" s="375">
        <f t="shared" si="6"/>
        <v>5.4530000000000003</v>
      </c>
      <c r="D49" s="375">
        <f t="shared" si="6"/>
        <v>4.9400000000000004</v>
      </c>
      <c r="E49" s="375">
        <f t="shared" si="6"/>
        <v>2.2150000000000003</v>
      </c>
      <c r="F49" s="375">
        <f t="shared" si="6"/>
        <v>0.10649999999999936</v>
      </c>
      <c r="G49" s="375">
        <f t="shared" si="6"/>
        <v>0</v>
      </c>
      <c r="H49" s="375">
        <f t="shared" si="6"/>
        <v>0</v>
      </c>
      <c r="I49" s="375">
        <f t="shared" si="6"/>
        <v>0</v>
      </c>
      <c r="J49" s="375">
        <f t="shared" si="6"/>
        <v>0</v>
      </c>
      <c r="K49" s="375">
        <f t="shared" si="6"/>
        <v>0</v>
      </c>
      <c r="L49" s="375">
        <f t="shared" si="6"/>
        <v>0</v>
      </c>
      <c r="M49" s="375">
        <f t="shared" si="6"/>
        <v>0</v>
      </c>
      <c r="N49" s="375">
        <f t="shared" si="6"/>
        <v>0</v>
      </c>
      <c r="O49" s="375">
        <f t="shared" si="6"/>
        <v>0</v>
      </c>
      <c r="P49" s="375">
        <f t="shared" si="6"/>
        <v>0</v>
      </c>
      <c r="Q49" s="375">
        <f t="shared" si="6"/>
        <v>0</v>
      </c>
      <c r="R49" s="375">
        <f t="shared" si="6"/>
        <v>0</v>
      </c>
      <c r="S49" s="375">
        <f t="shared" si="6"/>
        <v>0</v>
      </c>
      <c r="T49" s="375">
        <f t="shared" si="6"/>
        <v>0</v>
      </c>
      <c r="U49" s="375">
        <f t="shared" si="6"/>
        <v>0</v>
      </c>
      <c r="V49" s="375">
        <f t="shared" si="6"/>
        <v>0</v>
      </c>
      <c r="W49" s="375">
        <f t="shared" si="6"/>
        <v>0</v>
      </c>
      <c r="X49" s="375">
        <f t="shared" si="6"/>
        <v>0</v>
      </c>
      <c r="Y49" s="369"/>
    </row>
    <row r="50" spans="1:25" ht="13.5" thickBot="1" x14ac:dyDescent="0.25">
      <c r="A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3.5" thickBot="1" x14ac:dyDescent="0.25">
      <c r="A51" s="361" t="s">
        <v>283</v>
      </c>
      <c r="B51" s="359">
        <f>ROW(A51)</f>
        <v>51</v>
      </c>
      <c r="C51" s="363" t="s">
        <v>118</v>
      </c>
      <c r="D51" s="353">
        <f>SUM(B54:Y54)</f>
        <v>18.123500000000003</v>
      </c>
      <c r="E51" s="363" t="s">
        <v>117</v>
      </c>
      <c r="F51" s="399">
        <f>D51/g/J51</f>
        <v>3.0790859667006463</v>
      </c>
      <c r="G51" s="363" t="s">
        <v>59</v>
      </c>
      <c r="H51" s="64">
        <v>0.7</v>
      </c>
      <c r="I51" s="363" t="s">
        <v>276</v>
      </c>
      <c r="J51" s="355">
        <f>H51-L51</f>
        <v>0.6</v>
      </c>
      <c r="K51" s="363" t="s">
        <v>277</v>
      </c>
      <c r="L51" s="64">
        <v>0.1</v>
      </c>
      <c r="M51" s="363" t="s">
        <v>60</v>
      </c>
      <c r="N51" s="65">
        <f>0.3*R51</f>
        <v>90</v>
      </c>
      <c r="O51" s="363" t="s">
        <v>62</v>
      </c>
      <c r="P51" s="65">
        <v>150</v>
      </c>
      <c r="Q51" s="363" t="s">
        <v>63</v>
      </c>
      <c r="R51" s="65">
        <v>300</v>
      </c>
      <c r="S51" s="363" t="s">
        <v>64</v>
      </c>
      <c r="T51" s="65">
        <v>98</v>
      </c>
      <c r="U51" s="363" t="s">
        <v>57</v>
      </c>
      <c r="V51" s="66" t="s">
        <v>281</v>
      </c>
      <c r="W51" s="12"/>
      <c r="X51" s="12"/>
      <c r="Y51" s="12"/>
    </row>
    <row r="52" spans="1:25" x14ac:dyDescent="0.2">
      <c r="A52" s="362" t="s">
        <v>33</v>
      </c>
      <c r="B52" s="370">
        <v>0</v>
      </c>
      <c r="C52" s="371">
        <v>1E-3</v>
      </c>
      <c r="D52" s="371">
        <v>0.02</v>
      </c>
      <c r="E52" s="371">
        <v>0.04</v>
      </c>
      <c r="F52" s="371">
        <v>0.06</v>
      </c>
      <c r="G52" s="371">
        <v>0.08</v>
      </c>
      <c r="H52" s="371">
        <v>8.1000000000000003E-2</v>
      </c>
      <c r="I52" s="371">
        <v>8.1000000000000003E-2</v>
      </c>
      <c r="J52" s="371">
        <v>8.1000000000000003E-2</v>
      </c>
      <c r="K52" s="371">
        <v>8.1000000000000003E-2</v>
      </c>
      <c r="L52" s="371">
        <v>8.1000000000000003E-2</v>
      </c>
      <c r="M52" s="371">
        <v>8.1000000000000003E-2</v>
      </c>
      <c r="N52" s="371">
        <v>8.1000000000000003E-2</v>
      </c>
      <c r="O52" s="371">
        <v>8.1000000000000003E-2</v>
      </c>
      <c r="P52" s="371">
        <v>8.1000000000000003E-2</v>
      </c>
      <c r="Q52" s="371">
        <v>8.1000000000000003E-2</v>
      </c>
      <c r="R52" s="371">
        <v>8.1000000000000003E-2</v>
      </c>
      <c r="S52" s="371">
        <v>8.1000000000000003E-2</v>
      </c>
      <c r="T52" s="371">
        <v>8.1000000000000003E-2</v>
      </c>
      <c r="U52" s="371">
        <v>8.1000000000000003E-2</v>
      </c>
      <c r="V52" s="371">
        <v>8.1000000000000003E-2</v>
      </c>
      <c r="W52" s="371">
        <v>8.1000000000000003E-2</v>
      </c>
      <c r="X52" s="371">
        <v>8.1000000000000003E-2</v>
      </c>
      <c r="Y52" s="381">
        <v>1000</v>
      </c>
    </row>
    <row r="53" spans="1:25" x14ac:dyDescent="0.2">
      <c r="A53" s="378" t="s">
        <v>34</v>
      </c>
      <c r="B53" s="372">
        <v>0</v>
      </c>
      <c r="C53" s="373">
        <v>310</v>
      </c>
      <c r="D53" s="373">
        <v>260</v>
      </c>
      <c r="E53" s="373">
        <v>220</v>
      </c>
      <c r="F53" s="373">
        <v>190</v>
      </c>
      <c r="G53" s="373">
        <v>167</v>
      </c>
      <c r="H53" s="373">
        <v>0</v>
      </c>
      <c r="I53" s="373">
        <v>0</v>
      </c>
      <c r="J53" s="373">
        <v>0</v>
      </c>
      <c r="K53" s="373">
        <v>0</v>
      </c>
      <c r="L53" s="373">
        <v>0</v>
      </c>
      <c r="M53" s="373">
        <v>0</v>
      </c>
      <c r="N53" s="373">
        <v>0</v>
      </c>
      <c r="O53" s="373">
        <v>0</v>
      </c>
      <c r="P53" s="373">
        <v>0</v>
      </c>
      <c r="Q53" s="373">
        <v>0</v>
      </c>
      <c r="R53" s="373">
        <v>0</v>
      </c>
      <c r="S53" s="373">
        <v>0</v>
      </c>
      <c r="T53" s="373">
        <v>0</v>
      </c>
      <c r="U53" s="373">
        <v>0</v>
      </c>
      <c r="V53" s="373">
        <v>0</v>
      </c>
      <c r="W53" s="373">
        <v>0</v>
      </c>
      <c r="X53" s="373">
        <v>0</v>
      </c>
      <c r="Y53" s="382">
        <v>0</v>
      </c>
    </row>
    <row r="54" spans="1:25" ht="13.5" thickBot="1" x14ac:dyDescent="0.25">
      <c r="A54" s="379" t="s">
        <v>119</v>
      </c>
      <c r="B54" s="374">
        <f t="shared" ref="B54:X54" si="7">(C53+B53)*(C52-B52)/2</f>
        <v>0.155</v>
      </c>
      <c r="C54" s="375">
        <f t="shared" si="7"/>
        <v>5.415</v>
      </c>
      <c r="D54" s="375">
        <f t="shared" si="7"/>
        <v>4.8</v>
      </c>
      <c r="E54" s="375">
        <f t="shared" si="7"/>
        <v>4.0999999999999996</v>
      </c>
      <c r="F54" s="375">
        <f t="shared" si="7"/>
        <v>3.5700000000000007</v>
      </c>
      <c r="G54" s="375">
        <f t="shared" si="7"/>
        <v>8.3500000000000074E-2</v>
      </c>
      <c r="H54" s="375">
        <f t="shared" si="7"/>
        <v>0</v>
      </c>
      <c r="I54" s="375">
        <f t="shared" si="7"/>
        <v>0</v>
      </c>
      <c r="J54" s="375">
        <f t="shared" si="7"/>
        <v>0</v>
      </c>
      <c r="K54" s="375">
        <f t="shared" si="7"/>
        <v>0</v>
      </c>
      <c r="L54" s="375">
        <f t="shared" si="7"/>
        <v>0</v>
      </c>
      <c r="M54" s="375">
        <f t="shared" si="7"/>
        <v>0</v>
      </c>
      <c r="N54" s="375">
        <f t="shared" si="7"/>
        <v>0</v>
      </c>
      <c r="O54" s="375">
        <f t="shared" si="7"/>
        <v>0</v>
      </c>
      <c r="P54" s="375">
        <f t="shared" si="7"/>
        <v>0</v>
      </c>
      <c r="Q54" s="375">
        <f t="shared" si="7"/>
        <v>0</v>
      </c>
      <c r="R54" s="375">
        <f t="shared" si="7"/>
        <v>0</v>
      </c>
      <c r="S54" s="375">
        <f t="shared" si="7"/>
        <v>0</v>
      </c>
      <c r="T54" s="375">
        <f t="shared" si="7"/>
        <v>0</v>
      </c>
      <c r="U54" s="375">
        <f t="shared" si="7"/>
        <v>0</v>
      </c>
      <c r="V54" s="375">
        <f t="shared" si="7"/>
        <v>0</v>
      </c>
      <c r="W54" s="375">
        <f t="shared" si="7"/>
        <v>0</v>
      </c>
      <c r="X54" s="375">
        <f t="shared" si="7"/>
        <v>0</v>
      </c>
      <c r="Y54" s="369"/>
    </row>
    <row r="55" spans="1:25" ht="13.5" thickBo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3.5" thickBot="1" x14ac:dyDescent="0.25">
      <c r="A56" s="361" t="s">
        <v>284</v>
      </c>
      <c r="B56" s="359">
        <f>ROW(A56)</f>
        <v>56</v>
      </c>
      <c r="C56" s="363" t="s">
        <v>118</v>
      </c>
      <c r="D56" s="353">
        <f>SUM(B59:Y59)</f>
        <v>22.610000000000003</v>
      </c>
      <c r="E56" s="363" t="s">
        <v>117</v>
      </c>
      <c r="F56" s="399">
        <f>D56/g/J56</f>
        <v>2.88098878695209</v>
      </c>
      <c r="G56" s="363" t="s">
        <v>59</v>
      </c>
      <c r="H56" s="64">
        <v>0.9</v>
      </c>
      <c r="I56" s="363" t="s">
        <v>276</v>
      </c>
      <c r="J56" s="355">
        <f>H56-L56</f>
        <v>0.8</v>
      </c>
      <c r="K56" s="363" t="s">
        <v>277</v>
      </c>
      <c r="L56" s="64">
        <v>0.1</v>
      </c>
      <c r="M56" s="363" t="s">
        <v>60</v>
      </c>
      <c r="N56" s="65">
        <f>0.4*R56</f>
        <v>120</v>
      </c>
      <c r="O56" s="363" t="s">
        <v>62</v>
      </c>
      <c r="P56" s="65">
        <v>150</v>
      </c>
      <c r="Q56" s="363" t="s">
        <v>63</v>
      </c>
      <c r="R56" s="65">
        <v>300</v>
      </c>
      <c r="S56" s="363" t="s">
        <v>64</v>
      </c>
      <c r="T56" s="65">
        <v>98</v>
      </c>
      <c r="U56" s="363" t="s">
        <v>57</v>
      </c>
      <c r="V56" s="66" t="s">
        <v>281</v>
      </c>
      <c r="W56" s="12"/>
      <c r="X56" s="12"/>
      <c r="Y56" s="12"/>
    </row>
    <row r="57" spans="1:25" x14ac:dyDescent="0.2">
      <c r="A57" s="362" t="s">
        <v>33</v>
      </c>
      <c r="B57" s="370">
        <v>0</v>
      </c>
      <c r="C57" s="371">
        <v>1E-3</v>
      </c>
      <c r="D57" s="371">
        <v>0.02</v>
      </c>
      <c r="E57" s="371">
        <v>0.04</v>
      </c>
      <c r="F57" s="371">
        <v>0.06</v>
      </c>
      <c r="G57" s="371">
        <v>0.08</v>
      </c>
      <c r="H57" s="371">
        <v>0.1</v>
      </c>
      <c r="I57" s="371">
        <v>0.11700000000000001</v>
      </c>
      <c r="J57" s="371">
        <v>0.11799999999999999</v>
      </c>
      <c r="K57" s="371">
        <v>0.11799999999999999</v>
      </c>
      <c r="L57" s="371">
        <v>0.11799999999999999</v>
      </c>
      <c r="M57" s="371">
        <v>0.11799999999999999</v>
      </c>
      <c r="N57" s="371">
        <v>0.11799999999999999</v>
      </c>
      <c r="O57" s="371">
        <v>0.11799999999999999</v>
      </c>
      <c r="P57" s="371">
        <v>0.11799999999999999</v>
      </c>
      <c r="Q57" s="371">
        <v>0.11799999999999999</v>
      </c>
      <c r="R57" s="371">
        <v>0.11799999999999999</v>
      </c>
      <c r="S57" s="371">
        <v>0.11799999999999999</v>
      </c>
      <c r="T57" s="371">
        <v>0.11799999999999999</v>
      </c>
      <c r="U57" s="371">
        <v>0.11799999999999999</v>
      </c>
      <c r="V57" s="371">
        <v>0.11799999999999999</v>
      </c>
      <c r="W57" s="371">
        <v>0.11799999999999999</v>
      </c>
      <c r="X57" s="371">
        <v>0.11799999999999999</v>
      </c>
      <c r="Y57" s="381">
        <v>1000</v>
      </c>
    </row>
    <row r="58" spans="1:25" x14ac:dyDescent="0.2">
      <c r="A58" s="378" t="s">
        <v>34</v>
      </c>
      <c r="B58" s="372">
        <v>0</v>
      </c>
      <c r="C58" s="373">
        <v>310</v>
      </c>
      <c r="D58" s="373">
        <v>250</v>
      </c>
      <c r="E58" s="373">
        <v>210</v>
      </c>
      <c r="F58" s="373">
        <v>180</v>
      </c>
      <c r="G58" s="373">
        <v>156</v>
      </c>
      <c r="H58" s="373">
        <v>140</v>
      </c>
      <c r="I58" s="373">
        <v>125</v>
      </c>
      <c r="J58" s="373">
        <v>0</v>
      </c>
      <c r="K58" s="373">
        <v>0</v>
      </c>
      <c r="L58" s="373">
        <v>0</v>
      </c>
      <c r="M58" s="373">
        <v>0</v>
      </c>
      <c r="N58" s="373">
        <v>0</v>
      </c>
      <c r="O58" s="373">
        <v>0</v>
      </c>
      <c r="P58" s="373">
        <v>0</v>
      </c>
      <c r="Q58" s="373">
        <v>0</v>
      </c>
      <c r="R58" s="373">
        <v>0</v>
      </c>
      <c r="S58" s="373">
        <v>0</v>
      </c>
      <c r="T58" s="373">
        <v>0</v>
      </c>
      <c r="U58" s="373">
        <v>0</v>
      </c>
      <c r="V58" s="373">
        <v>0</v>
      </c>
      <c r="W58" s="373">
        <v>0</v>
      </c>
      <c r="X58" s="373">
        <v>0</v>
      </c>
      <c r="Y58" s="382">
        <v>0</v>
      </c>
    </row>
    <row r="59" spans="1:25" ht="13.5" thickBot="1" x14ac:dyDescent="0.25">
      <c r="A59" s="379" t="s">
        <v>119</v>
      </c>
      <c r="B59" s="374">
        <f t="shared" ref="B59:X59" si="8">(C58+B58)*(C57-B57)/2</f>
        <v>0.155</v>
      </c>
      <c r="C59" s="375">
        <f t="shared" si="8"/>
        <v>5.32</v>
      </c>
      <c r="D59" s="375">
        <f t="shared" si="8"/>
        <v>4.6000000000000005</v>
      </c>
      <c r="E59" s="375">
        <f t="shared" si="8"/>
        <v>3.8999999999999995</v>
      </c>
      <c r="F59" s="375">
        <f t="shared" si="8"/>
        <v>3.3600000000000008</v>
      </c>
      <c r="G59" s="375">
        <f t="shared" si="8"/>
        <v>2.9600000000000004</v>
      </c>
      <c r="H59" s="375">
        <f t="shared" si="8"/>
        <v>2.2524999999999999</v>
      </c>
      <c r="I59" s="375">
        <f t="shared" si="8"/>
        <v>6.2499999999999188E-2</v>
      </c>
      <c r="J59" s="375">
        <f t="shared" si="8"/>
        <v>0</v>
      </c>
      <c r="K59" s="375">
        <f t="shared" si="8"/>
        <v>0</v>
      </c>
      <c r="L59" s="375">
        <f t="shared" si="8"/>
        <v>0</v>
      </c>
      <c r="M59" s="375">
        <f t="shared" si="8"/>
        <v>0</v>
      </c>
      <c r="N59" s="375">
        <f t="shared" si="8"/>
        <v>0</v>
      </c>
      <c r="O59" s="375">
        <f t="shared" si="8"/>
        <v>0</v>
      </c>
      <c r="P59" s="375">
        <f t="shared" si="8"/>
        <v>0</v>
      </c>
      <c r="Q59" s="375">
        <f t="shared" si="8"/>
        <v>0</v>
      </c>
      <c r="R59" s="375">
        <f t="shared" si="8"/>
        <v>0</v>
      </c>
      <c r="S59" s="375">
        <f t="shared" si="8"/>
        <v>0</v>
      </c>
      <c r="T59" s="375">
        <f t="shared" si="8"/>
        <v>0</v>
      </c>
      <c r="U59" s="375">
        <f t="shared" si="8"/>
        <v>0</v>
      </c>
      <c r="V59" s="375">
        <f t="shared" si="8"/>
        <v>0</v>
      </c>
      <c r="W59" s="375">
        <f t="shared" si="8"/>
        <v>0</v>
      </c>
      <c r="X59" s="375">
        <f t="shared" si="8"/>
        <v>0</v>
      </c>
      <c r="Y59" s="369"/>
    </row>
    <row r="60" spans="1:25" ht="13.5" thickBot="1" x14ac:dyDescent="0.25">
      <c r="A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3.5" thickBot="1" x14ac:dyDescent="0.25">
      <c r="A61" s="361" t="s">
        <v>285</v>
      </c>
      <c r="B61" s="359">
        <f>ROW(A61)</f>
        <v>61</v>
      </c>
      <c r="C61" s="363" t="s">
        <v>118</v>
      </c>
      <c r="D61" s="353">
        <f>SUM(B64:Y64)</f>
        <v>25.874000000000006</v>
      </c>
      <c r="E61" s="363" t="s">
        <v>117</v>
      </c>
      <c r="F61" s="399">
        <f>D61/g/J61</f>
        <v>2.6375127420998985</v>
      </c>
      <c r="G61" s="363" t="s">
        <v>59</v>
      </c>
      <c r="H61" s="64">
        <v>1.1000000000000001</v>
      </c>
      <c r="I61" s="363" t="s">
        <v>276</v>
      </c>
      <c r="J61" s="355">
        <f>H61-L61</f>
        <v>1</v>
      </c>
      <c r="K61" s="363" t="s">
        <v>277</v>
      </c>
      <c r="L61" s="64">
        <v>0.1</v>
      </c>
      <c r="M61" s="363" t="s">
        <v>60</v>
      </c>
      <c r="N61" s="65">
        <f>0.5*R61</f>
        <v>150</v>
      </c>
      <c r="O61" s="363" t="s">
        <v>62</v>
      </c>
      <c r="P61" s="65">
        <v>150</v>
      </c>
      <c r="Q61" s="363" t="s">
        <v>63</v>
      </c>
      <c r="R61" s="65">
        <v>300</v>
      </c>
      <c r="S61" s="363" t="s">
        <v>64</v>
      </c>
      <c r="T61" s="65">
        <v>98</v>
      </c>
      <c r="U61" s="363" t="s">
        <v>57</v>
      </c>
      <c r="V61" s="66" t="s">
        <v>281</v>
      </c>
      <c r="W61" s="12"/>
      <c r="X61" s="12"/>
      <c r="Y61" s="12"/>
    </row>
    <row r="62" spans="1:25" x14ac:dyDescent="0.2">
      <c r="A62" s="362" t="s">
        <v>33</v>
      </c>
      <c r="B62" s="370">
        <v>0</v>
      </c>
      <c r="C62" s="371">
        <v>1E-3</v>
      </c>
      <c r="D62" s="371">
        <v>0.02</v>
      </c>
      <c r="E62" s="371">
        <v>0.04</v>
      </c>
      <c r="F62" s="371">
        <v>0.06</v>
      </c>
      <c r="G62" s="371">
        <v>0.08</v>
      </c>
      <c r="H62" s="371">
        <v>0.1</v>
      </c>
      <c r="I62" s="371">
        <v>0.12</v>
      </c>
      <c r="J62" s="371">
        <v>0.14000000000000001</v>
      </c>
      <c r="K62" s="371">
        <v>0.16400000000000001</v>
      </c>
      <c r="L62" s="371">
        <v>0.16500000000000001</v>
      </c>
      <c r="M62" s="371">
        <v>0.16500000000000001</v>
      </c>
      <c r="N62" s="371">
        <v>0.16500000000000001</v>
      </c>
      <c r="O62" s="371">
        <v>0.16500000000000001</v>
      </c>
      <c r="P62" s="371">
        <v>0.16500000000000001</v>
      </c>
      <c r="Q62" s="371">
        <v>0.16500000000000001</v>
      </c>
      <c r="R62" s="371">
        <v>0.16500000000000001</v>
      </c>
      <c r="S62" s="371">
        <v>0.16500000000000001</v>
      </c>
      <c r="T62" s="371">
        <v>0.16500000000000001</v>
      </c>
      <c r="U62" s="371">
        <v>0.16500000000000001</v>
      </c>
      <c r="V62" s="371">
        <v>0.16500000000000001</v>
      </c>
      <c r="W62" s="371">
        <v>0.16500000000000001</v>
      </c>
      <c r="X62" s="371">
        <v>0.16500000000000001</v>
      </c>
      <c r="Y62" s="381">
        <v>1000</v>
      </c>
    </row>
    <row r="63" spans="1:25" x14ac:dyDescent="0.2">
      <c r="A63" s="378" t="s">
        <v>34</v>
      </c>
      <c r="B63" s="372">
        <v>0</v>
      </c>
      <c r="C63" s="373">
        <v>310</v>
      </c>
      <c r="D63" s="373">
        <v>245</v>
      </c>
      <c r="E63" s="373">
        <v>200</v>
      </c>
      <c r="F63" s="373">
        <v>165</v>
      </c>
      <c r="G63" s="373">
        <v>143</v>
      </c>
      <c r="H63" s="373">
        <v>124</v>
      </c>
      <c r="I63" s="373">
        <v>108</v>
      </c>
      <c r="J63" s="373">
        <v>97</v>
      </c>
      <c r="K63" s="373">
        <v>85</v>
      </c>
      <c r="L63" s="373">
        <v>0</v>
      </c>
      <c r="M63" s="373">
        <v>0</v>
      </c>
      <c r="N63" s="373">
        <v>0</v>
      </c>
      <c r="O63" s="373">
        <v>0</v>
      </c>
      <c r="P63" s="373">
        <v>0</v>
      </c>
      <c r="Q63" s="373">
        <v>0</v>
      </c>
      <c r="R63" s="373">
        <v>0</v>
      </c>
      <c r="S63" s="373">
        <v>0</v>
      </c>
      <c r="T63" s="373">
        <v>0</v>
      </c>
      <c r="U63" s="373">
        <v>0</v>
      </c>
      <c r="V63" s="373">
        <v>0</v>
      </c>
      <c r="W63" s="373">
        <v>0</v>
      </c>
      <c r="X63" s="373">
        <v>0</v>
      </c>
      <c r="Y63" s="382">
        <v>0</v>
      </c>
    </row>
    <row r="64" spans="1:25" ht="13.5" thickBot="1" x14ac:dyDescent="0.25">
      <c r="A64" s="379" t="s">
        <v>119</v>
      </c>
      <c r="B64" s="374">
        <f t="shared" ref="B64:X64" si="9">(C63+B63)*(C62-B62)/2</f>
        <v>0.155</v>
      </c>
      <c r="C64" s="375">
        <f t="shared" si="9"/>
        <v>5.2725</v>
      </c>
      <c r="D64" s="375">
        <f t="shared" si="9"/>
        <v>4.45</v>
      </c>
      <c r="E64" s="375">
        <f t="shared" si="9"/>
        <v>3.6499999999999995</v>
      </c>
      <c r="F64" s="375">
        <f t="shared" si="9"/>
        <v>3.0800000000000005</v>
      </c>
      <c r="G64" s="375">
        <f t="shared" si="9"/>
        <v>2.6700000000000004</v>
      </c>
      <c r="H64" s="375">
        <f t="shared" si="9"/>
        <v>2.319999999999999</v>
      </c>
      <c r="I64" s="375">
        <f t="shared" si="9"/>
        <v>2.0500000000000016</v>
      </c>
      <c r="J64" s="375">
        <f t="shared" si="9"/>
        <v>2.1839999999999993</v>
      </c>
      <c r="K64" s="375">
        <f t="shared" si="9"/>
        <v>4.2500000000000038E-2</v>
      </c>
      <c r="L64" s="375">
        <f t="shared" si="9"/>
        <v>0</v>
      </c>
      <c r="M64" s="375">
        <f t="shared" si="9"/>
        <v>0</v>
      </c>
      <c r="N64" s="375">
        <f t="shared" si="9"/>
        <v>0</v>
      </c>
      <c r="O64" s="375">
        <f t="shared" si="9"/>
        <v>0</v>
      </c>
      <c r="P64" s="375">
        <f t="shared" si="9"/>
        <v>0</v>
      </c>
      <c r="Q64" s="375">
        <f t="shared" si="9"/>
        <v>0</v>
      </c>
      <c r="R64" s="375">
        <f t="shared" si="9"/>
        <v>0</v>
      </c>
      <c r="S64" s="375">
        <f t="shared" si="9"/>
        <v>0</v>
      </c>
      <c r="T64" s="375">
        <f t="shared" si="9"/>
        <v>0</v>
      </c>
      <c r="U64" s="375">
        <f t="shared" si="9"/>
        <v>0</v>
      </c>
      <c r="V64" s="375">
        <f t="shared" si="9"/>
        <v>0</v>
      </c>
      <c r="W64" s="375">
        <f t="shared" si="9"/>
        <v>0</v>
      </c>
      <c r="X64" s="375">
        <f t="shared" si="9"/>
        <v>0</v>
      </c>
      <c r="Y64" s="369"/>
    </row>
    <row r="66" spans="1:26" ht="13.5" thickBot="1" x14ac:dyDescent="0.25">
      <c r="A66" s="6" t="s">
        <v>186</v>
      </c>
    </row>
    <row r="67" spans="1:26" ht="13.5" thickBot="1" x14ac:dyDescent="0.25">
      <c r="A67" s="361" t="s">
        <v>114</v>
      </c>
      <c r="B67" s="359">
        <f>ROW(A67)</f>
        <v>67</v>
      </c>
      <c r="C67" s="363" t="s">
        <v>118</v>
      </c>
      <c r="D67" s="353">
        <f>SUM(B70:Y70)</f>
        <v>2.65</v>
      </c>
      <c r="E67" s="363" t="s">
        <v>117</v>
      </c>
      <c r="F67" s="354">
        <f>D67/g/J67</f>
        <v>54.026503567787969</v>
      </c>
      <c r="G67" s="363" t="s">
        <v>59</v>
      </c>
      <c r="H67" s="64">
        <v>1.4999999999999999E-2</v>
      </c>
      <c r="I67" s="363" t="s">
        <v>276</v>
      </c>
      <c r="J67" s="355">
        <f>H67-L67</f>
        <v>4.9999999999999992E-3</v>
      </c>
      <c r="K67" s="363" t="s">
        <v>277</v>
      </c>
      <c r="L67" s="64">
        <v>0.01</v>
      </c>
      <c r="M67" s="363" t="s">
        <v>60</v>
      </c>
      <c r="N67" s="65">
        <v>30</v>
      </c>
      <c r="O67" s="363" t="s">
        <v>62</v>
      </c>
      <c r="P67" s="65">
        <v>30</v>
      </c>
      <c r="Q67" s="363" t="s">
        <v>63</v>
      </c>
      <c r="R67" s="65">
        <v>70</v>
      </c>
      <c r="S67" s="363" t="s">
        <v>64</v>
      </c>
      <c r="T67" s="65">
        <v>15</v>
      </c>
      <c r="U67" s="363" t="s">
        <v>57</v>
      </c>
      <c r="V67" s="66" t="s">
        <v>120</v>
      </c>
      <c r="W67" s="463" t="s">
        <v>400</v>
      </c>
      <c r="X67" s="465">
        <v>0.32</v>
      </c>
      <c r="Y67" s="463" t="s">
        <v>399</v>
      </c>
      <c r="Z67" s="358">
        <v>3</v>
      </c>
    </row>
    <row r="68" spans="1:26" x14ac:dyDescent="0.2">
      <c r="A68" s="362" t="s">
        <v>33</v>
      </c>
      <c r="B68" s="370">
        <v>0</v>
      </c>
      <c r="C68" s="371">
        <v>0.2</v>
      </c>
      <c r="D68" s="371">
        <v>0.3</v>
      </c>
      <c r="E68" s="371">
        <v>0.4</v>
      </c>
      <c r="F68" s="371">
        <v>0.5</v>
      </c>
      <c r="G68" s="371">
        <v>0.55000000000000004</v>
      </c>
      <c r="H68" s="371">
        <v>0.6</v>
      </c>
      <c r="I68" s="371">
        <v>0.6</v>
      </c>
      <c r="J68" s="371">
        <v>0.6</v>
      </c>
      <c r="K68" s="371">
        <v>0.6</v>
      </c>
      <c r="L68" s="371">
        <v>0.6</v>
      </c>
      <c r="M68" s="371">
        <v>0.6</v>
      </c>
      <c r="N68" s="371">
        <v>0.6</v>
      </c>
      <c r="O68" s="371">
        <v>0.6</v>
      </c>
      <c r="P68" s="371">
        <v>0.6</v>
      </c>
      <c r="Q68" s="371">
        <v>0.6</v>
      </c>
      <c r="R68" s="371">
        <v>0.6</v>
      </c>
      <c r="S68" s="371">
        <v>0.6</v>
      </c>
      <c r="T68" s="371">
        <v>0.6</v>
      </c>
      <c r="U68" s="371">
        <v>0.6</v>
      </c>
      <c r="V68" s="371">
        <v>0.6</v>
      </c>
      <c r="W68" s="371">
        <v>0.6</v>
      </c>
      <c r="X68" s="371">
        <v>0.6</v>
      </c>
      <c r="Y68" s="381">
        <v>1000</v>
      </c>
    </row>
    <row r="69" spans="1:26" x14ac:dyDescent="0.2">
      <c r="A69" s="378" t="s">
        <v>34</v>
      </c>
      <c r="B69" s="372">
        <v>0</v>
      </c>
      <c r="C69" s="373">
        <v>9</v>
      </c>
      <c r="D69" s="373">
        <v>4.5</v>
      </c>
      <c r="E69" s="373">
        <v>4</v>
      </c>
      <c r="F69" s="373">
        <v>4</v>
      </c>
      <c r="G69" s="373">
        <v>3</v>
      </c>
      <c r="H69" s="373">
        <v>0</v>
      </c>
      <c r="I69" s="373">
        <v>0</v>
      </c>
      <c r="J69" s="373">
        <v>0</v>
      </c>
      <c r="K69" s="373">
        <v>0</v>
      </c>
      <c r="L69" s="373">
        <v>0</v>
      </c>
      <c r="M69" s="373">
        <v>0</v>
      </c>
      <c r="N69" s="373">
        <v>0</v>
      </c>
      <c r="O69" s="373">
        <v>0</v>
      </c>
      <c r="P69" s="373">
        <v>0</v>
      </c>
      <c r="Q69" s="373">
        <v>0</v>
      </c>
      <c r="R69" s="373">
        <v>0</v>
      </c>
      <c r="S69" s="373">
        <v>0</v>
      </c>
      <c r="T69" s="373">
        <v>0</v>
      </c>
      <c r="U69" s="373">
        <v>0</v>
      </c>
      <c r="V69" s="373">
        <v>0</v>
      </c>
      <c r="W69" s="373">
        <v>0</v>
      </c>
      <c r="X69" s="373">
        <v>0</v>
      </c>
      <c r="Y69" s="382">
        <v>0</v>
      </c>
    </row>
    <row r="70" spans="1:26" ht="13.5" thickBot="1" x14ac:dyDescent="0.25">
      <c r="A70" s="379" t="s">
        <v>119</v>
      </c>
      <c r="B70" s="374">
        <f t="shared" ref="B70:X70" si="10">(C69+B69)*(C68-B68)/2</f>
        <v>0.9</v>
      </c>
      <c r="C70" s="375">
        <f t="shared" si="10"/>
        <v>0.67499999999999982</v>
      </c>
      <c r="D70" s="375">
        <f t="shared" si="10"/>
        <v>0.42500000000000016</v>
      </c>
      <c r="E70" s="375">
        <f t="shared" si="10"/>
        <v>0.39999999999999991</v>
      </c>
      <c r="F70" s="375">
        <f t="shared" si="10"/>
        <v>0.17500000000000016</v>
      </c>
      <c r="G70" s="375">
        <f t="shared" si="10"/>
        <v>7.49999999999999E-2</v>
      </c>
      <c r="H70" s="375">
        <f t="shared" si="10"/>
        <v>0</v>
      </c>
      <c r="I70" s="375">
        <f t="shared" si="10"/>
        <v>0</v>
      </c>
      <c r="J70" s="375">
        <f t="shared" si="10"/>
        <v>0</v>
      </c>
      <c r="K70" s="375">
        <f t="shared" si="10"/>
        <v>0</v>
      </c>
      <c r="L70" s="375">
        <f t="shared" si="10"/>
        <v>0</v>
      </c>
      <c r="M70" s="375">
        <f t="shared" si="10"/>
        <v>0</v>
      </c>
      <c r="N70" s="375">
        <f t="shared" si="10"/>
        <v>0</v>
      </c>
      <c r="O70" s="375">
        <f t="shared" si="10"/>
        <v>0</v>
      </c>
      <c r="P70" s="375">
        <f t="shared" si="10"/>
        <v>0</v>
      </c>
      <c r="Q70" s="375">
        <f t="shared" si="10"/>
        <v>0</v>
      </c>
      <c r="R70" s="375">
        <f t="shared" si="10"/>
        <v>0</v>
      </c>
      <c r="S70" s="375">
        <f t="shared" si="10"/>
        <v>0</v>
      </c>
      <c r="T70" s="375">
        <f t="shared" si="10"/>
        <v>0</v>
      </c>
      <c r="U70" s="375">
        <f t="shared" si="10"/>
        <v>0</v>
      </c>
      <c r="V70" s="375">
        <f t="shared" si="10"/>
        <v>0</v>
      </c>
      <c r="W70" s="375">
        <f t="shared" si="10"/>
        <v>0</v>
      </c>
      <c r="X70" s="375">
        <f t="shared" si="10"/>
        <v>0</v>
      </c>
      <c r="Y70" s="369"/>
    </row>
    <row r="71" spans="1:26" ht="13.5" thickBot="1" x14ac:dyDescent="0.25">
      <c r="A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6" ht="13.5" thickBot="1" x14ac:dyDescent="0.25">
      <c r="A72" s="361" t="s">
        <v>115</v>
      </c>
      <c r="B72" s="359">
        <f>ROW(A72)</f>
        <v>72</v>
      </c>
      <c r="C72" s="363" t="s">
        <v>118</v>
      </c>
      <c r="D72" s="353">
        <f>SUM(B75:Y75)</f>
        <v>5.25</v>
      </c>
      <c r="E72" s="363" t="s">
        <v>117</v>
      </c>
      <c r="F72" s="354">
        <f>D72/g/J72</f>
        <v>89.1946992864424</v>
      </c>
      <c r="G72" s="363" t="s">
        <v>59</v>
      </c>
      <c r="H72" s="64">
        <v>0.02</v>
      </c>
      <c r="I72" s="363" t="s">
        <v>276</v>
      </c>
      <c r="J72" s="355">
        <f>H72-L72</f>
        <v>6.0000000000000001E-3</v>
      </c>
      <c r="K72" s="363" t="s">
        <v>277</v>
      </c>
      <c r="L72" s="64">
        <v>1.4E-2</v>
      </c>
      <c r="M72" s="363" t="s">
        <v>60</v>
      </c>
      <c r="N72" s="65">
        <v>30</v>
      </c>
      <c r="O72" s="363" t="s">
        <v>62</v>
      </c>
      <c r="P72" s="65">
        <v>30</v>
      </c>
      <c r="Q72" s="363" t="s">
        <v>63</v>
      </c>
      <c r="R72" s="65">
        <v>70</v>
      </c>
      <c r="S72" s="363" t="s">
        <v>64</v>
      </c>
      <c r="T72" s="65">
        <v>15</v>
      </c>
      <c r="U72" s="363" t="s">
        <v>57</v>
      </c>
      <c r="V72" s="66" t="s">
        <v>120</v>
      </c>
      <c r="W72" s="463" t="s">
        <v>400</v>
      </c>
      <c r="X72" s="465">
        <v>1.2</v>
      </c>
      <c r="Y72" s="463" t="s">
        <v>399</v>
      </c>
      <c r="Z72" s="358">
        <v>4</v>
      </c>
    </row>
    <row r="73" spans="1:26" x14ac:dyDescent="0.2">
      <c r="A73" s="362" t="s">
        <v>33</v>
      </c>
      <c r="B73" s="370">
        <v>0</v>
      </c>
      <c r="C73" s="371">
        <v>0.2</v>
      </c>
      <c r="D73" s="371">
        <v>0.3</v>
      </c>
      <c r="E73" s="371">
        <v>0.55000000000000004</v>
      </c>
      <c r="F73" s="371">
        <v>1.05</v>
      </c>
      <c r="G73" s="371">
        <v>1.1499999999999999</v>
      </c>
      <c r="H73" s="371">
        <v>1.1499999999999999</v>
      </c>
      <c r="I73" s="371">
        <v>1.1499999999999999</v>
      </c>
      <c r="J73" s="371">
        <v>1.1499999999999999</v>
      </c>
      <c r="K73" s="371">
        <v>1.1499999999999999</v>
      </c>
      <c r="L73" s="371">
        <v>1.1499999999999999</v>
      </c>
      <c r="M73" s="371">
        <v>1.1499999999999999</v>
      </c>
      <c r="N73" s="371">
        <v>1.1499999999999999</v>
      </c>
      <c r="O73" s="371">
        <v>1.1499999999999999</v>
      </c>
      <c r="P73" s="371">
        <v>1.1499999999999999</v>
      </c>
      <c r="Q73" s="371">
        <v>1.1499999999999999</v>
      </c>
      <c r="R73" s="371">
        <v>1.1499999999999999</v>
      </c>
      <c r="S73" s="371">
        <v>1.1499999999999999</v>
      </c>
      <c r="T73" s="371">
        <v>1.1499999999999999</v>
      </c>
      <c r="U73" s="371">
        <v>1.1499999999999999</v>
      </c>
      <c r="V73" s="371">
        <v>1.1499999999999999</v>
      </c>
      <c r="W73" s="371">
        <v>1.1499999999999999</v>
      </c>
      <c r="X73" s="371">
        <v>1.1499999999999999</v>
      </c>
      <c r="Y73" s="381">
        <v>1000</v>
      </c>
    </row>
    <row r="74" spans="1:26" x14ac:dyDescent="0.2">
      <c r="A74" s="378" t="s">
        <v>34</v>
      </c>
      <c r="B74" s="372">
        <v>0</v>
      </c>
      <c r="C74" s="373">
        <v>10</v>
      </c>
      <c r="D74" s="373">
        <v>6</v>
      </c>
      <c r="E74" s="373">
        <v>4</v>
      </c>
      <c r="F74" s="373">
        <v>4</v>
      </c>
      <c r="G74" s="373">
        <v>0</v>
      </c>
      <c r="H74" s="373">
        <v>0</v>
      </c>
      <c r="I74" s="373">
        <v>0</v>
      </c>
      <c r="J74" s="373">
        <v>0</v>
      </c>
      <c r="K74" s="373">
        <v>0</v>
      </c>
      <c r="L74" s="373">
        <v>0</v>
      </c>
      <c r="M74" s="373">
        <v>0</v>
      </c>
      <c r="N74" s="373">
        <v>0</v>
      </c>
      <c r="O74" s="373">
        <v>0</v>
      </c>
      <c r="P74" s="373">
        <v>0</v>
      </c>
      <c r="Q74" s="373">
        <v>0</v>
      </c>
      <c r="R74" s="373">
        <v>0</v>
      </c>
      <c r="S74" s="373">
        <v>0</v>
      </c>
      <c r="T74" s="373">
        <v>0</v>
      </c>
      <c r="U74" s="373">
        <v>0</v>
      </c>
      <c r="V74" s="373">
        <v>0</v>
      </c>
      <c r="W74" s="373">
        <v>0</v>
      </c>
      <c r="X74" s="373">
        <v>0</v>
      </c>
      <c r="Y74" s="382">
        <v>0</v>
      </c>
    </row>
    <row r="75" spans="1:26" ht="13.5" thickBot="1" x14ac:dyDescent="0.25">
      <c r="A75" s="379" t="s">
        <v>119</v>
      </c>
      <c r="B75" s="374">
        <f t="shared" ref="B75:V75" si="11">(C74+B74)*(C73-B73)/2</f>
        <v>1</v>
      </c>
      <c r="C75" s="375">
        <f t="shared" si="11"/>
        <v>0.79999999999999982</v>
      </c>
      <c r="D75" s="375">
        <f t="shared" si="11"/>
        <v>1.2500000000000002</v>
      </c>
      <c r="E75" s="375">
        <f t="shared" si="11"/>
        <v>2</v>
      </c>
      <c r="F75" s="375">
        <f t="shared" si="11"/>
        <v>0.19999999999999973</v>
      </c>
      <c r="G75" s="375">
        <f t="shared" si="11"/>
        <v>0</v>
      </c>
      <c r="H75" s="375">
        <f t="shared" si="11"/>
        <v>0</v>
      </c>
      <c r="I75" s="375">
        <f t="shared" si="11"/>
        <v>0</v>
      </c>
      <c r="J75" s="375">
        <f>(K74+J74)*(K73-J73)/2</f>
        <v>0</v>
      </c>
      <c r="K75" s="375">
        <f t="shared" si="11"/>
        <v>0</v>
      </c>
      <c r="L75" s="375">
        <f t="shared" si="11"/>
        <v>0</v>
      </c>
      <c r="M75" s="375">
        <f t="shared" si="11"/>
        <v>0</v>
      </c>
      <c r="N75" s="375">
        <f t="shared" si="11"/>
        <v>0</v>
      </c>
      <c r="O75" s="375">
        <f t="shared" si="11"/>
        <v>0</v>
      </c>
      <c r="P75" s="375">
        <f t="shared" si="11"/>
        <v>0</v>
      </c>
      <c r="Q75" s="375">
        <f t="shared" si="11"/>
        <v>0</v>
      </c>
      <c r="R75" s="375">
        <f t="shared" si="11"/>
        <v>0</v>
      </c>
      <c r="S75" s="375">
        <f>(T74+S74)*(T73-S73)/2</f>
        <v>0</v>
      </c>
      <c r="T75" s="375">
        <f t="shared" si="11"/>
        <v>0</v>
      </c>
      <c r="U75" s="375">
        <f t="shared" si="11"/>
        <v>0</v>
      </c>
      <c r="V75" s="375">
        <f t="shared" si="11"/>
        <v>0</v>
      </c>
      <c r="W75" s="375">
        <f>(X74+W74)*(X73-W73)/2</f>
        <v>0</v>
      </c>
      <c r="X75" s="375">
        <f>(Y74+X74)*(Y73-X73)/2</f>
        <v>0</v>
      </c>
      <c r="Y75" s="369"/>
    </row>
    <row r="76" spans="1:26" ht="13.5" thickBot="1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6" ht="13.5" thickBot="1" x14ac:dyDescent="0.25">
      <c r="A77" s="361" t="s">
        <v>116</v>
      </c>
      <c r="B77" s="359">
        <f>ROW(A77)</f>
        <v>77</v>
      </c>
      <c r="C77" s="363" t="s">
        <v>118</v>
      </c>
      <c r="D77" s="353">
        <f>SUM(B80:Y80)</f>
        <v>10.26</v>
      </c>
      <c r="E77" s="363" t="s">
        <v>117</v>
      </c>
      <c r="F77" s="354">
        <f>D77/g/J77</f>
        <v>80.451658433309802</v>
      </c>
      <c r="G77" s="363" t="s">
        <v>59</v>
      </c>
      <c r="H77" s="64">
        <v>2.4E-2</v>
      </c>
      <c r="I77" s="363" t="s">
        <v>276</v>
      </c>
      <c r="J77" s="355">
        <f>H77-L77</f>
        <v>1.3000000000000001E-2</v>
      </c>
      <c r="K77" s="363" t="s">
        <v>277</v>
      </c>
      <c r="L77" s="64">
        <v>1.0999999999999999E-2</v>
      </c>
      <c r="M77" s="363" t="s">
        <v>60</v>
      </c>
      <c r="N77" s="65">
        <v>30</v>
      </c>
      <c r="O77" s="363" t="s">
        <v>62</v>
      </c>
      <c r="P77" s="65">
        <v>30</v>
      </c>
      <c r="Q77" s="363" t="s">
        <v>63</v>
      </c>
      <c r="R77" s="65">
        <v>70</v>
      </c>
      <c r="S77" s="363" t="s">
        <v>64</v>
      </c>
      <c r="T77" s="65">
        <v>15</v>
      </c>
      <c r="U77" s="363" t="s">
        <v>57</v>
      </c>
      <c r="V77" s="66" t="s">
        <v>120</v>
      </c>
      <c r="W77" s="463" t="s">
        <v>400</v>
      </c>
      <c r="X77" s="465">
        <v>1.7</v>
      </c>
      <c r="Y77" s="463" t="s">
        <v>399</v>
      </c>
      <c r="Z77" s="358">
        <v>3</v>
      </c>
    </row>
    <row r="78" spans="1:26" x14ac:dyDescent="0.2">
      <c r="A78" s="362" t="s">
        <v>33</v>
      </c>
      <c r="B78" s="370">
        <v>0</v>
      </c>
      <c r="C78" s="371">
        <v>0.2</v>
      </c>
      <c r="D78" s="371">
        <v>0.3</v>
      </c>
      <c r="E78" s="371">
        <v>0.6</v>
      </c>
      <c r="F78" s="371">
        <v>0.8</v>
      </c>
      <c r="G78" s="371">
        <v>2</v>
      </c>
      <c r="H78" s="371">
        <v>2.1</v>
      </c>
      <c r="I78" s="371">
        <v>2.1</v>
      </c>
      <c r="J78" s="371">
        <v>2.1</v>
      </c>
      <c r="K78" s="371">
        <v>2.1</v>
      </c>
      <c r="L78" s="371">
        <v>2.1</v>
      </c>
      <c r="M78" s="371">
        <v>2.1</v>
      </c>
      <c r="N78" s="371">
        <v>2.1</v>
      </c>
      <c r="O78" s="371">
        <v>2.1</v>
      </c>
      <c r="P78" s="371">
        <v>2.1</v>
      </c>
      <c r="Q78" s="371">
        <v>2.1</v>
      </c>
      <c r="R78" s="371">
        <v>2.1</v>
      </c>
      <c r="S78" s="371">
        <v>2.1</v>
      </c>
      <c r="T78" s="371">
        <v>2.1</v>
      </c>
      <c r="U78" s="371">
        <v>2.1</v>
      </c>
      <c r="V78" s="371">
        <v>2.1</v>
      </c>
      <c r="W78" s="371">
        <v>2.1</v>
      </c>
      <c r="X78" s="371">
        <v>2.1</v>
      </c>
      <c r="Y78" s="381">
        <v>1000</v>
      </c>
    </row>
    <row r="79" spans="1:26" x14ac:dyDescent="0.2">
      <c r="A79" s="378" t="s">
        <v>34</v>
      </c>
      <c r="B79" s="372">
        <v>0</v>
      </c>
      <c r="C79" s="373">
        <v>11</v>
      </c>
      <c r="D79" s="373">
        <v>7</v>
      </c>
      <c r="E79" s="373">
        <v>4</v>
      </c>
      <c r="F79" s="373">
        <v>4.5999999999999996</v>
      </c>
      <c r="G79" s="373">
        <v>4.5999999999999996</v>
      </c>
      <c r="H79" s="373">
        <v>0</v>
      </c>
      <c r="I79" s="373">
        <v>0</v>
      </c>
      <c r="J79" s="373">
        <v>0</v>
      </c>
      <c r="K79" s="373">
        <v>0</v>
      </c>
      <c r="L79" s="373">
        <v>0</v>
      </c>
      <c r="M79" s="373">
        <v>0</v>
      </c>
      <c r="N79" s="373">
        <v>0</v>
      </c>
      <c r="O79" s="373">
        <v>0</v>
      </c>
      <c r="P79" s="373">
        <v>0</v>
      </c>
      <c r="Q79" s="373">
        <v>0</v>
      </c>
      <c r="R79" s="373">
        <v>0</v>
      </c>
      <c r="S79" s="373">
        <v>0</v>
      </c>
      <c r="T79" s="373">
        <v>0</v>
      </c>
      <c r="U79" s="373">
        <v>0</v>
      </c>
      <c r="V79" s="373">
        <v>0</v>
      </c>
      <c r="W79" s="373">
        <v>0</v>
      </c>
      <c r="X79" s="373">
        <v>0</v>
      </c>
      <c r="Y79" s="382">
        <v>0</v>
      </c>
    </row>
    <row r="80" spans="1:26" ht="13.5" thickBot="1" x14ac:dyDescent="0.25">
      <c r="A80" s="379" t="s">
        <v>119</v>
      </c>
      <c r="B80" s="374">
        <f t="shared" ref="B80:G80" si="12">(C79+B79)*(C78-B78)/2</f>
        <v>1.1000000000000001</v>
      </c>
      <c r="C80" s="375">
        <f t="shared" si="12"/>
        <v>0.8999999999999998</v>
      </c>
      <c r="D80" s="375">
        <f t="shared" si="12"/>
        <v>1.65</v>
      </c>
      <c r="E80" s="375">
        <f t="shared" si="12"/>
        <v>0.86000000000000021</v>
      </c>
      <c r="F80" s="375">
        <f t="shared" si="12"/>
        <v>5.52</v>
      </c>
      <c r="G80" s="375">
        <f t="shared" si="12"/>
        <v>0.23000000000000018</v>
      </c>
      <c r="H80" s="375">
        <f t="shared" ref="H80:V80" si="13">(I79+H79)*(I78-H78)/2</f>
        <v>0</v>
      </c>
      <c r="I80" s="375">
        <f t="shared" si="13"/>
        <v>0</v>
      </c>
      <c r="J80" s="375">
        <f>(K79+J79)*(K78-J78)/2</f>
        <v>0</v>
      </c>
      <c r="K80" s="375">
        <f t="shared" si="13"/>
        <v>0</v>
      </c>
      <c r="L80" s="375">
        <f t="shared" si="13"/>
        <v>0</v>
      </c>
      <c r="M80" s="375">
        <f t="shared" si="13"/>
        <v>0</v>
      </c>
      <c r="N80" s="375">
        <f t="shared" si="13"/>
        <v>0</v>
      </c>
      <c r="O80" s="375">
        <f t="shared" si="13"/>
        <v>0</v>
      </c>
      <c r="P80" s="375">
        <f t="shared" si="13"/>
        <v>0</v>
      </c>
      <c r="Q80" s="375">
        <f t="shared" si="13"/>
        <v>0</v>
      </c>
      <c r="R80" s="375">
        <f t="shared" si="13"/>
        <v>0</v>
      </c>
      <c r="S80" s="375">
        <f>(T79+S79)*(T78-S78)/2</f>
        <v>0</v>
      </c>
      <c r="T80" s="375">
        <f t="shared" si="13"/>
        <v>0</v>
      </c>
      <c r="U80" s="375">
        <f t="shared" si="13"/>
        <v>0</v>
      </c>
      <c r="V80" s="375">
        <f t="shared" si="13"/>
        <v>0</v>
      </c>
      <c r="W80" s="375">
        <f>(X79+W79)*(X78-W78)/2</f>
        <v>0</v>
      </c>
      <c r="X80" s="375">
        <f>(Y79+X79)*(Y78-X78)/2</f>
        <v>0</v>
      </c>
      <c r="Y80" s="369"/>
    </row>
    <row r="81" spans="1:26" ht="13.5" thickBot="1" x14ac:dyDescent="0.25">
      <c r="A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6" ht="13.5" thickBot="1" x14ac:dyDescent="0.25">
      <c r="A82" s="361" t="s">
        <v>335</v>
      </c>
      <c r="B82" s="359">
        <f>ROW(A82)</f>
        <v>82</v>
      </c>
      <c r="C82" s="363" t="s">
        <v>118</v>
      </c>
      <c r="D82" s="353">
        <f>SUM(B85:Y85)</f>
        <v>20.52</v>
      </c>
      <c r="E82" s="363" t="s">
        <v>117</v>
      </c>
      <c r="F82" s="354">
        <f>D82/g/J82</f>
        <v>80.451658433309802</v>
      </c>
      <c r="G82" s="363" t="s">
        <v>59</v>
      </c>
      <c r="H82" s="64">
        <f>H77*2</f>
        <v>4.8000000000000001E-2</v>
      </c>
      <c r="I82" s="363" t="s">
        <v>276</v>
      </c>
      <c r="J82" s="355">
        <f>H82-L82</f>
        <v>2.6000000000000002E-2</v>
      </c>
      <c r="K82" s="363" t="s">
        <v>277</v>
      </c>
      <c r="L82" s="64">
        <f>L77*2</f>
        <v>2.1999999999999999E-2</v>
      </c>
      <c r="M82" s="363" t="s">
        <v>60</v>
      </c>
      <c r="N82" s="65">
        <v>30</v>
      </c>
      <c r="O82" s="363" t="s">
        <v>62</v>
      </c>
      <c r="P82" s="65">
        <v>30</v>
      </c>
      <c r="Q82" s="363" t="s">
        <v>63</v>
      </c>
      <c r="R82" s="65">
        <v>70</v>
      </c>
      <c r="S82" s="363" t="s">
        <v>64</v>
      </c>
      <c r="T82" s="65">
        <v>30</v>
      </c>
      <c r="U82" s="363" t="s">
        <v>57</v>
      </c>
      <c r="V82" s="66" t="s">
        <v>120</v>
      </c>
      <c r="W82" s="463" t="s">
        <v>400</v>
      </c>
      <c r="X82" s="465">
        <v>1.7</v>
      </c>
      <c r="Y82" s="463" t="s">
        <v>399</v>
      </c>
      <c r="Z82" s="358">
        <v>3</v>
      </c>
    </row>
    <row r="83" spans="1:26" x14ac:dyDescent="0.2">
      <c r="A83" s="362" t="s">
        <v>33</v>
      </c>
      <c r="B83" s="370">
        <v>0</v>
      </c>
      <c r="C83" s="371">
        <v>0.2</v>
      </c>
      <c r="D83" s="371">
        <v>0.3</v>
      </c>
      <c r="E83" s="371">
        <v>0.6</v>
      </c>
      <c r="F83" s="371">
        <v>0.8</v>
      </c>
      <c r="G83" s="371">
        <v>2</v>
      </c>
      <c r="H83" s="371">
        <v>2.1</v>
      </c>
      <c r="I83" s="371">
        <v>2.1</v>
      </c>
      <c r="J83" s="371">
        <v>2.1</v>
      </c>
      <c r="K83" s="371">
        <v>2.1</v>
      </c>
      <c r="L83" s="371">
        <v>2.1</v>
      </c>
      <c r="M83" s="371">
        <v>2.1</v>
      </c>
      <c r="N83" s="371">
        <v>2.1</v>
      </c>
      <c r="O83" s="371">
        <v>2.1</v>
      </c>
      <c r="P83" s="371">
        <v>2.1</v>
      </c>
      <c r="Q83" s="371">
        <v>2.1</v>
      </c>
      <c r="R83" s="371">
        <v>2.1</v>
      </c>
      <c r="S83" s="371">
        <v>2.1</v>
      </c>
      <c r="T83" s="371">
        <v>2.1</v>
      </c>
      <c r="U83" s="371">
        <v>2.1</v>
      </c>
      <c r="V83" s="371">
        <v>2.1</v>
      </c>
      <c r="W83" s="371">
        <v>2.1</v>
      </c>
      <c r="X83" s="371">
        <v>2.1</v>
      </c>
      <c r="Y83" s="381">
        <v>1000</v>
      </c>
    </row>
    <row r="84" spans="1:26" x14ac:dyDescent="0.2">
      <c r="A84" s="378" t="s">
        <v>34</v>
      </c>
      <c r="B84" s="372">
        <f>B79*2</f>
        <v>0</v>
      </c>
      <c r="C84" s="373">
        <f t="shared" ref="C84:X84" si="14">C79*2</f>
        <v>22</v>
      </c>
      <c r="D84" s="373">
        <f t="shared" si="14"/>
        <v>14</v>
      </c>
      <c r="E84" s="373">
        <f t="shared" si="14"/>
        <v>8</v>
      </c>
      <c r="F84" s="373">
        <f t="shared" si="14"/>
        <v>9.1999999999999993</v>
      </c>
      <c r="G84" s="373">
        <f t="shared" si="14"/>
        <v>9.1999999999999993</v>
      </c>
      <c r="H84" s="373">
        <f t="shared" si="14"/>
        <v>0</v>
      </c>
      <c r="I84" s="373">
        <f t="shared" si="14"/>
        <v>0</v>
      </c>
      <c r="J84" s="373">
        <f t="shared" si="14"/>
        <v>0</v>
      </c>
      <c r="K84" s="373">
        <f t="shared" si="14"/>
        <v>0</v>
      </c>
      <c r="L84" s="373">
        <f t="shared" si="14"/>
        <v>0</v>
      </c>
      <c r="M84" s="373">
        <f t="shared" si="14"/>
        <v>0</v>
      </c>
      <c r="N84" s="373">
        <f t="shared" si="14"/>
        <v>0</v>
      </c>
      <c r="O84" s="373">
        <f t="shared" si="14"/>
        <v>0</v>
      </c>
      <c r="P84" s="373">
        <f t="shared" si="14"/>
        <v>0</v>
      </c>
      <c r="Q84" s="373">
        <f t="shared" si="14"/>
        <v>0</v>
      </c>
      <c r="R84" s="373">
        <f t="shared" si="14"/>
        <v>0</v>
      </c>
      <c r="S84" s="373">
        <f t="shared" si="14"/>
        <v>0</v>
      </c>
      <c r="T84" s="373">
        <f t="shared" si="14"/>
        <v>0</v>
      </c>
      <c r="U84" s="373">
        <f t="shared" si="14"/>
        <v>0</v>
      </c>
      <c r="V84" s="373">
        <f t="shared" si="14"/>
        <v>0</v>
      </c>
      <c r="W84" s="373">
        <f t="shared" si="14"/>
        <v>0</v>
      </c>
      <c r="X84" s="373">
        <f t="shared" si="14"/>
        <v>0</v>
      </c>
      <c r="Y84" s="382">
        <v>0</v>
      </c>
    </row>
    <row r="85" spans="1:26" ht="13.5" thickBot="1" x14ac:dyDescent="0.25">
      <c r="A85" s="379" t="s">
        <v>119</v>
      </c>
      <c r="B85" s="374">
        <f t="shared" ref="B85:X85" si="15">(C84+B84)*(C83-B83)/2</f>
        <v>2.2000000000000002</v>
      </c>
      <c r="C85" s="375">
        <f t="shared" si="15"/>
        <v>1.7999999999999996</v>
      </c>
      <c r="D85" s="375">
        <f t="shared" si="15"/>
        <v>3.3</v>
      </c>
      <c r="E85" s="375">
        <f t="shared" si="15"/>
        <v>1.7200000000000004</v>
      </c>
      <c r="F85" s="375">
        <f t="shared" si="15"/>
        <v>11.04</v>
      </c>
      <c r="G85" s="375">
        <f t="shared" si="15"/>
        <v>0.46000000000000035</v>
      </c>
      <c r="H85" s="375">
        <f t="shared" si="15"/>
        <v>0</v>
      </c>
      <c r="I85" s="375">
        <f t="shared" si="15"/>
        <v>0</v>
      </c>
      <c r="J85" s="375">
        <f t="shared" si="15"/>
        <v>0</v>
      </c>
      <c r="K85" s="375">
        <f t="shared" si="15"/>
        <v>0</v>
      </c>
      <c r="L85" s="375">
        <f t="shared" si="15"/>
        <v>0</v>
      </c>
      <c r="M85" s="375">
        <f t="shared" si="15"/>
        <v>0</v>
      </c>
      <c r="N85" s="375">
        <f t="shared" si="15"/>
        <v>0</v>
      </c>
      <c r="O85" s="375">
        <f t="shared" si="15"/>
        <v>0</v>
      </c>
      <c r="P85" s="375">
        <f t="shared" si="15"/>
        <v>0</v>
      </c>
      <c r="Q85" s="375">
        <f t="shared" si="15"/>
        <v>0</v>
      </c>
      <c r="R85" s="375">
        <f t="shared" si="15"/>
        <v>0</v>
      </c>
      <c r="S85" s="375">
        <f t="shared" si="15"/>
        <v>0</v>
      </c>
      <c r="T85" s="375">
        <f t="shared" si="15"/>
        <v>0</v>
      </c>
      <c r="U85" s="375">
        <f t="shared" si="15"/>
        <v>0</v>
      </c>
      <c r="V85" s="375">
        <f t="shared" si="15"/>
        <v>0</v>
      </c>
      <c r="W85" s="375">
        <f t="shared" si="15"/>
        <v>0</v>
      </c>
      <c r="X85" s="375">
        <f t="shared" si="15"/>
        <v>0</v>
      </c>
      <c r="Y85" s="369"/>
    </row>
    <row r="86" spans="1:26" ht="13.5" thickBot="1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6" ht="13.5" thickBot="1" x14ac:dyDescent="0.25">
      <c r="A87" s="361" t="s">
        <v>336</v>
      </c>
      <c r="B87" s="359">
        <f>ROW(A87)</f>
        <v>87</v>
      </c>
      <c r="C87" s="363" t="s">
        <v>118</v>
      </c>
      <c r="D87" s="353">
        <f>SUM(B90:Y90)</f>
        <v>30.779999999999998</v>
      </c>
      <c r="E87" s="363" t="s">
        <v>117</v>
      </c>
      <c r="F87" s="354">
        <f>D87/g/J87</f>
        <v>80.451658433309774</v>
      </c>
      <c r="G87" s="363" t="s">
        <v>59</v>
      </c>
      <c r="H87" s="64">
        <f>H77*3</f>
        <v>7.2000000000000008E-2</v>
      </c>
      <c r="I87" s="363" t="s">
        <v>276</v>
      </c>
      <c r="J87" s="355">
        <f>H87-L87</f>
        <v>3.9000000000000007E-2</v>
      </c>
      <c r="K87" s="363" t="s">
        <v>277</v>
      </c>
      <c r="L87" s="64">
        <f>L77*3</f>
        <v>3.3000000000000002E-2</v>
      </c>
      <c r="M87" s="363" t="s">
        <v>60</v>
      </c>
      <c r="N87" s="65">
        <v>30</v>
      </c>
      <c r="O87" s="363" t="s">
        <v>62</v>
      </c>
      <c r="P87" s="65">
        <v>30</v>
      </c>
      <c r="Q87" s="363" t="s">
        <v>63</v>
      </c>
      <c r="R87" s="65">
        <v>70</v>
      </c>
      <c r="S87" s="363" t="s">
        <v>64</v>
      </c>
      <c r="T87" s="65">
        <v>40</v>
      </c>
      <c r="U87" s="363" t="s">
        <v>57</v>
      </c>
      <c r="V87" s="66" t="s">
        <v>120</v>
      </c>
      <c r="W87" s="463" t="s">
        <v>400</v>
      </c>
      <c r="X87" s="465">
        <v>1.7</v>
      </c>
      <c r="Y87" s="463" t="s">
        <v>399</v>
      </c>
      <c r="Z87" s="358">
        <v>3</v>
      </c>
    </row>
    <row r="88" spans="1:26" x14ac:dyDescent="0.2">
      <c r="A88" s="362" t="s">
        <v>33</v>
      </c>
      <c r="B88" s="370">
        <v>0</v>
      </c>
      <c r="C88" s="371">
        <v>0.2</v>
      </c>
      <c r="D88" s="371">
        <v>0.3</v>
      </c>
      <c r="E88" s="371">
        <v>0.6</v>
      </c>
      <c r="F88" s="371">
        <v>0.8</v>
      </c>
      <c r="G88" s="371">
        <v>2</v>
      </c>
      <c r="H88" s="371">
        <v>2.1</v>
      </c>
      <c r="I88" s="371">
        <v>2.1</v>
      </c>
      <c r="J88" s="371">
        <v>2.1</v>
      </c>
      <c r="K88" s="371">
        <v>2.1</v>
      </c>
      <c r="L88" s="371">
        <v>2.1</v>
      </c>
      <c r="M88" s="371">
        <v>2.1</v>
      </c>
      <c r="N88" s="371">
        <v>2.1</v>
      </c>
      <c r="O88" s="371">
        <v>2.1</v>
      </c>
      <c r="P88" s="371">
        <v>2.1</v>
      </c>
      <c r="Q88" s="371">
        <v>2.1</v>
      </c>
      <c r="R88" s="371">
        <v>2.1</v>
      </c>
      <c r="S88" s="371">
        <v>2.1</v>
      </c>
      <c r="T88" s="371">
        <v>2.1</v>
      </c>
      <c r="U88" s="371">
        <v>2.1</v>
      </c>
      <c r="V88" s="371">
        <v>2.1</v>
      </c>
      <c r="W88" s="371">
        <v>2.1</v>
      </c>
      <c r="X88" s="371">
        <v>2.1</v>
      </c>
      <c r="Y88" s="381">
        <v>1000</v>
      </c>
    </row>
    <row r="89" spans="1:26" x14ac:dyDescent="0.2">
      <c r="A89" s="378" t="s">
        <v>34</v>
      </c>
      <c r="B89" s="372">
        <f>B79*3</f>
        <v>0</v>
      </c>
      <c r="C89" s="373">
        <f t="shared" ref="C89:X89" si="16">C79*3</f>
        <v>33</v>
      </c>
      <c r="D89" s="373">
        <f t="shared" si="16"/>
        <v>21</v>
      </c>
      <c r="E89" s="373">
        <f t="shared" si="16"/>
        <v>12</v>
      </c>
      <c r="F89" s="373">
        <f t="shared" si="16"/>
        <v>13.799999999999999</v>
      </c>
      <c r="G89" s="373">
        <f t="shared" si="16"/>
        <v>13.799999999999999</v>
      </c>
      <c r="H89" s="373">
        <f t="shared" si="16"/>
        <v>0</v>
      </c>
      <c r="I89" s="373">
        <f t="shared" si="16"/>
        <v>0</v>
      </c>
      <c r="J89" s="373">
        <f t="shared" si="16"/>
        <v>0</v>
      </c>
      <c r="K89" s="373">
        <f t="shared" si="16"/>
        <v>0</v>
      </c>
      <c r="L89" s="373">
        <f t="shared" si="16"/>
        <v>0</v>
      </c>
      <c r="M89" s="373">
        <f t="shared" si="16"/>
        <v>0</v>
      </c>
      <c r="N89" s="373">
        <f t="shared" si="16"/>
        <v>0</v>
      </c>
      <c r="O89" s="373">
        <f t="shared" si="16"/>
        <v>0</v>
      </c>
      <c r="P89" s="373">
        <f t="shared" si="16"/>
        <v>0</v>
      </c>
      <c r="Q89" s="373">
        <f t="shared" si="16"/>
        <v>0</v>
      </c>
      <c r="R89" s="373">
        <f t="shared" si="16"/>
        <v>0</v>
      </c>
      <c r="S89" s="373">
        <f t="shared" si="16"/>
        <v>0</v>
      </c>
      <c r="T89" s="373">
        <f t="shared" si="16"/>
        <v>0</v>
      </c>
      <c r="U89" s="373">
        <f t="shared" si="16"/>
        <v>0</v>
      </c>
      <c r="V89" s="373">
        <f t="shared" si="16"/>
        <v>0</v>
      </c>
      <c r="W89" s="373">
        <f t="shared" si="16"/>
        <v>0</v>
      </c>
      <c r="X89" s="373">
        <f t="shared" si="16"/>
        <v>0</v>
      </c>
      <c r="Y89" s="382">
        <v>0</v>
      </c>
    </row>
    <row r="90" spans="1:26" ht="13.5" thickBot="1" x14ac:dyDescent="0.25">
      <c r="A90" s="379" t="s">
        <v>119</v>
      </c>
      <c r="B90" s="374">
        <f t="shared" ref="B90:X90" si="17">(C89+B89)*(C88-B88)/2</f>
        <v>3.3000000000000003</v>
      </c>
      <c r="C90" s="375">
        <f t="shared" si="17"/>
        <v>2.6999999999999993</v>
      </c>
      <c r="D90" s="375">
        <f t="shared" si="17"/>
        <v>4.95</v>
      </c>
      <c r="E90" s="375">
        <f t="shared" si="17"/>
        <v>2.5800000000000005</v>
      </c>
      <c r="F90" s="375">
        <f t="shared" si="17"/>
        <v>16.559999999999999</v>
      </c>
      <c r="G90" s="375">
        <f t="shared" si="17"/>
        <v>0.69000000000000061</v>
      </c>
      <c r="H90" s="375">
        <f t="shared" si="17"/>
        <v>0</v>
      </c>
      <c r="I90" s="375">
        <f t="shared" si="17"/>
        <v>0</v>
      </c>
      <c r="J90" s="375">
        <f t="shared" si="17"/>
        <v>0</v>
      </c>
      <c r="K90" s="375">
        <f t="shared" si="17"/>
        <v>0</v>
      </c>
      <c r="L90" s="375">
        <f t="shared" si="17"/>
        <v>0</v>
      </c>
      <c r="M90" s="375">
        <f t="shared" si="17"/>
        <v>0</v>
      </c>
      <c r="N90" s="375">
        <f t="shared" si="17"/>
        <v>0</v>
      </c>
      <c r="O90" s="375">
        <f t="shared" si="17"/>
        <v>0</v>
      </c>
      <c r="P90" s="375">
        <f t="shared" si="17"/>
        <v>0</v>
      </c>
      <c r="Q90" s="375">
        <f t="shared" si="17"/>
        <v>0</v>
      </c>
      <c r="R90" s="375">
        <f t="shared" si="17"/>
        <v>0</v>
      </c>
      <c r="S90" s="375">
        <f t="shared" si="17"/>
        <v>0</v>
      </c>
      <c r="T90" s="375">
        <f t="shared" si="17"/>
        <v>0</v>
      </c>
      <c r="U90" s="375">
        <f t="shared" si="17"/>
        <v>0</v>
      </c>
      <c r="V90" s="375">
        <f t="shared" si="17"/>
        <v>0</v>
      </c>
      <c r="W90" s="375">
        <f t="shared" si="17"/>
        <v>0</v>
      </c>
      <c r="X90" s="375">
        <f t="shared" si="17"/>
        <v>0</v>
      </c>
      <c r="Y90" s="369"/>
    </row>
    <row r="91" spans="1:26" ht="13.5" thickBot="1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6" ht="13.5" thickBot="1" x14ac:dyDescent="0.25">
      <c r="A92" s="361" t="s">
        <v>547</v>
      </c>
      <c r="B92" s="359">
        <f>ROW(A92)</f>
        <v>92</v>
      </c>
      <c r="C92" s="363" t="s">
        <v>118</v>
      </c>
      <c r="D92" s="353">
        <f>SUM(B95:Y95)</f>
        <v>19.961989000000003</v>
      </c>
      <c r="E92" s="363" t="s">
        <v>117</v>
      </c>
      <c r="F92" s="354">
        <f>D92/g/J92</f>
        <v>118.30588744280873</v>
      </c>
      <c r="G92" s="363" t="s">
        <v>59</v>
      </c>
      <c r="H92" s="64">
        <v>2.8199999999999999E-2</v>
      </c>
      <c r="I92" s="363" t="s">
        <v>276</v>
      </c>
      <c r="J92" s="355">
        <f>H92-L92</f>
        <v>1.72E-2</v>
      </c>
      <c r="K92" s="363" t="s">
        <v>277</v>
      </c>
      <c r="L92" s="64">
        <v>1.0999999999999999E-2</v>
      </c>
      <c r="M92" s="363" t="s">
        <v>60</v>
      </c>
      <c r="N92" s="65">
        <v>30</v>
      </c>
      <c r="O92" s="363" t="s">
        <v>62</v>
      </c>
      <c r="P92" s="65">
        <v>30</v>
      </c>
      <c r="Q92" s="363" t="s">
        <v>63</v>
      </c>
      <c r="R92" s="65">
        <v>70</v>
      </c>
      <c r="S92" s="363" t="s">
        <v>64</v>
      </c>
      <c r="T92" s="65">
        <v>18</v>
      </c>
      <c r="U92" s="363" t="s">
        <v>57</v>
      </c>
      <c r="V92" s="66" t="s">
        <v>407</v>
      </c>
      <c r="W92" s="463" t="s">
        <v>400</v>
      </c>
      <c r="X92" s="465">
        <v>2.1</v>
      </c>
      <c r="Y92" s="463" t="s">
        <v>399</v>
      </c>
      <c r="Z92" s="358">
        <v>7</v>
      </c>
    </row>
    <row r="93" spans="1:26" x14ac:dyDescent="0.2">
      <c r="A93" s="362" t="s">
        <v>33</v>
      </c>
      <c r="B93" s="370">
        <v>0</v>
      </c>
      <c r="C93" s="472">
        <v>0.04</v>
      </c>
      <c r="D93" s="472">
        <v>0.11600000000000001</v>
      </c>
      <c r="E93" s="472">
        <v>0.21299999999999999</v>
      </c>
      <c r="F93" s="472">
        <v>0.28599999999999998</v>
      </c>
      <c r="G93" s="472">
        <v>0.32900000000000001</v>
      </c>
      <c r="H93" s="472">
        <v>0.36899999999999999</v>
      </c>
      <c r="I93" s="472">
        <v>0.42</v>
      </c>
      <c r="J93" s="472">
        <v>0.495</v>
      </c>
      <c r="K93" s="472">
        <v>0.59699999999999998</v>
      </c>
      <c r="L93" s="472">
        <v>1.7110000000000001</v>
      </c>
      <c r="M93" s="472">
        <v>1.8260000000000001</v>
      </c>
      <c r="N93" s="472">
        <v>1.917</v>
      </c>
      <c r="O93" s="472">
        <v>1.9750000000000001</v>
      </c>
      <c r="P93" s="472">
        <v>2.206</v>
      </c>
      <c r="Q93" s="472">
        <v>2.242</v>
      </c>
      <c r="R93" s="371">
        <v>2.5</v>
      </c>
      <c r="S93" s="371">
        <v>2.5</v>
      </c>
      <c r="T93" s="371">
        <v>2.5</v>
      </c>
      <c r="U93" s="371">
        <v>2.5</v>
      </c>
      <c r="V93" s="371">
        <v>2.5</v>
      </c>
      <c r="W93" s="371">
        <v>2.5</v>
      </c>
      <c r="X93" s="371">
        <v>2.5</v>
      </c>
      <c r="Y93" s="381">
        <v>1000</v>
      </c>
    </row>
    <row r="94" spans="1:26" x14ac:dyDescent="0.2">
      <c r="A94" s="378" t="s">
        <v>34</v>
      </c>
      <c r="B94" s="372">
        <v>0</v>
      </c>
      <c r="C94" s="472">
        <v>2.1110000000000002</v>
      </c>
      <c r="D94" s="472">
        <v>9.6850000000000005</v>
      </c>
      <c r="E94" s="472">
        <v>25</v>
      </c>
      <c r="F94" s="472">
        <v>15.738</v>
      </c>
      <c r="G94" s="472">
        <v>12.472</v>
      </c>
      <c r="H94" s="472">
        <v>10.67</v>
      </c>
      <c r="I94" s="472">
        <v>9.7129999999999992</v>
      </c>
      <c r="J94" s="472">
        <v>9.1780000000000008</v>
      </c>
      <c r="K94" s="472">
        <v>8.8960000000000008</v>
      </c>
      <c r="L94" s="472">
        <v>8.9250000000000007</v>
      </c>
      <c r="M94" s="472">
        <v>8.6989999999999998</v>
      </c>
      <c r="N94" s="472">
        <v>8.0519999999999996</v>
      </c>
      <c r="O94" s="472">
        <v>6.9539999999999997</v>
      </c>
      <c r="P94" s="472">
        <v>1.07</v>
      </c>
      <c r="Q94" s="472">
        <v>0</v>
      </c>
      <c r="R94" s="373">
        <v>0</v>
      </c>
      <c r="S94" s="373">
        <v>0</v>
      </c>
      <c r="T94" s="373">
        <v>0</v>
      </c>
      <c r="U94" s="373">
        <v>0</v>
      </c>
      <c r="V94" s="373">
        <v>0</v>
      </c>
      <c r="W94" s="373">
        <v>0</v>
      </c>
      <c r="X94" s="373">
        <v>0</v>
      </c>
      <c r="Y94" s="382">
        <v>0</v>
      </c>
    </row>
    <row r="95" spans="1:26" ht="13.5" thickBot="1" x14ac:dyDescent="0.25">
      <c r="A95" s="379" t="s">
        <v>119</v>
      </c>
      <c r="B95" s="374">
        <f t="shared" ref="B95:X95" si="18">(C94+B94)*(C93-B93)/2</f>
        <v>4.2220000000000008E-2</v>
      </c>
      <c r="C95" s="375">
        <f t="shared" si="18"/>
        <v>0.44824800000000009</v>
      </c>
      <c r="D95" s="375">
        <f t="shared" si="18"/>
        <v>1.6822225</v>
      </c>
      <c r="E95" s="375">
        <f t="shared" si="18"/>
        <v>1.4869369999999995</v>
      </c>
      <c r="F95" s="375">
        <f t="shared" si="18"/>
        <v>0.60651500000000058</v>
      </c>
      <c r="G95" s="375">
        <f t="shared" si="18"/>
        <v>0.46283999999999975</v>
      </c>
      <c r="H95" s="375">
        <f t="shared" si="18"/>
        <v>0.51976649999999991</v>
      </c>
      <c r="I95" s="375">
        <f t="shared" si="18"/>
        <v>0.7084125</v>
      </c>
      <c r="J95" s="375">
        <f t="shared" si="18"/>
        <v>0.92177399999999987</v>
      </c>
      <c r="K95" s="375">
        <f t="shared" si="18"/>
        <v>9.9262970000000017</v>
      </c>
      <c r="L95" s="375">
        <f t="shared" si="18"/>
        <v>1.0133799999999999</v>
      </c>
      <c r="M95" s="375">
        <f t="shared" si="18"/>
        <v>0.76217049999999964</v>
      </c>
      <c r="N95" s="375">
        <f t="shared" si="18"/>
        <v>0.43517400000000039</v>
      </c>
      <c r="O95" s="375">
        <f t="shared" si="18"/>
        <v>0.92677199999999937</v>
      </c>
      <c r="P95" s="375">
        <f t="shared" si="18"/>
        <v>1.9260000000000017E-2</v>
      </c>
      <c r="Q95" s="375">
        <f t="shared" si="18"/>
        <v>0</v>
      </c>
      <c r="R95" s="375">
        <f t="shared" si="18"/>
        <v>0</v>
      </c>
      <c r="S95" s="375">
        <f t="shared" si="18"/>
        <v>0</v>
      </c>
      <c r="T95" s="375">
        <f t="shared" si="18"/>
        <v>0</v>
      </c>
      <c r="U95" s="375">
        <f t="shared" si="18"/>
        <v>0</v>
      </c>
      <c r="V95" s="375">
        <f t="shared" si="18"/>
        <v>0</v>
      </c>
      <c r="W95" s="375">
        <f t="shared" si="18"/>
        <v>0</v>
      </c>
      <c r="X95" s="375">
        <f t="shared" si="18"/>
        <v>0</v>
      </c>
      <c r="Y95" s="369"/>
    </row>
    <row r="96" spans="1:26" ht="13.5" thickBot="1" x14ac:dyDescent="0.25">
      <c r="A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6" ht="13.5" thickBot="1" x14ac:dyDescent="0.25">
      <c r="A97" s="361" t="s">
        <v>545</v>
      </c>
      <c r="B97" s="359">
        <f>ROW(A97)</f>
        <v>97</v>
      </c>
      <c r="C97" s="363" t="s">
        <v>118</v>
      </c>
      <c r="D97" s="353">
        <f>SUM(B100:Y100)</f>
        <v>39.923978000000005</v>
      </c>
      <c r="E97" s="363" t="s">
        <v>117</v>
      </c>
      <c r="F97" s="354">
        <f>D97/g/J97</f>
        <v>118.30588744280873</v>
      </c>
      <c r="G97" s="363" t="s">
        <v>59</v>
      </c>
      <c r="H97" s="64">
        <f>H92*2</f>
        <v>5.6399999999999999E-2</v>
      </c>
      <c r="I97" s="363" t="s">
        <v>276</v>
      </c>
      <c r="J97" s="355">
        <f>H97-L97</f>
        <v>3.44E-2</v>
      </c>
      <c r="K97" s="363" t="s">
        <v>277</v>
      </c>
      <c r="L97" s="64">
        <f>L92*2</f>
        <v>2.1999999999999999E-2</v>
      </c>
      <c r="M97" s="363" t="s">
        <v>60</v>
      </c>
      <c r="N97" s="65">
        <v>30</v>
      </c>
      <c r="O97" s="363" t="s">
        <v>62</v>
      </c>
      <c r="P97" s="65">
        <v>30</v>
      </c>
      <c r="Q97" s="363" t="s">
        <v>63</v>
      </c>
      <c r="R97" s="65">
        <v>70</v>
      </c>
      <c r="S97" s="363" t="s">
        <v>64</v>
      </c>
      <c r="T97" s="65">
        <v>30</v>
      </c>
      <c r="U97" s="363" t="s">
        <v>57</v>
      </c>
      <c r="V97" s="66" t="s">
        <v>407</v>
      </c>
      <c r="W97" s="463" t="s">
        <v>400</v>
      </c>
      <c r="X97" s="465">
        <v>2.1</v>
      </c>
      <c r="Y97" s="463" t="s">
        <v>399</v>
      </c>
      <c r="Z97" s="358">
        <v>7</v>
      </c>
    </row>
    <row r="98" spans="1:26" x14ac:dyDescent="0.2">
      <c r="A98" s="362" t="s">
        <v>33</v>
      </c>
      <c r="B98" s="370">
        <v>0</v>
      </c>
      <c r="C98" s="371">
        <f>C93</f>
        <v>0.04</v>
      </c>
      <c r="D98" s="371">
        <f t="shared" ref="D98:X98" si="19">D93</f>
        <v>0.11600000000000001</v>
      </c>
      <c r="E98" s="371">
        <f t="shared" si="19"/>
        <v>0.21299999999999999</v>
      </c>
      <c r="F98" s="371">
        <f t="shared" si="19"/>
        <v>0.28599999999999998</v>
      </c>
      <c r="G98" s="371">
        <f t="shared" si="19"/>
        <v>0.32900000000000001</v>
      </c>
      <c r="H98" s="371">
        <f t="shared" si="19"/>
        <v>0.36899999999999999</v>
      </c>
      <c r="I98" s="371">
        <f t="shared" si="19"/>
        <v>0.42</v>
      </c>
      <c r="J98" s="371">
        <f t="shared" si="19"/>
        <v>0.495</v>
      </c>
      <c r="K98" s="371">
        <f t="shared" si="19"/>
        <v>0.59699999999999998</v>
      </c>
      <c r="L98" s="371">
        <f t="shared" si="19"/>
        <v>1.7110000000000001</v>
      </c>
      <c r="M98" s="371">
        <f t="shared" si="19"/>
        <v>1.8260000000000001</v>
      </c>
      <c r="N98" s="371">
        <f t="shared" si="19"/>
        <v>1.917</v>
      </c>
      <c r="O98" s="371">
        <f t="shared" si="19"/>
        <v>1.9750000000000001</v>
      </c>
      <c r="P98" s="371">
        <f t="shared" si="19"/>
        <v>2.206</v>
      </c>
      <c r="Q98" s="371">
        <f t="shared" si="19"/>
        <v>2.242</v>
      </c>
      <c r="R98" s="371">
        <f t="shared" si="19"/>
        <v>2.5</v>
      </c>
      <c r="S98" s="371">
        <f>S93</f>
        <v>2.5</v>
      </c>
      <c r="T98" s="371">
        <f t="shared" si="19"/>
        <v>2.5</v>
      </c>
      <c r="U98" s="371">
        <f t="shared" si="19"/>
        <v>2.5</v>
      </c>
      <c r="V98" s="371">
        <f t="shared" si="19"/>
        <v>2.5</v>
      </c>
      <c r="W98" s="371">
        <f t="shared" si="19"/>
        <v>2.5</v>
      </c>
      <c r="X98" s="371">
        <f t="shared" si="19"/>
        <v>2.5</v>
      </c>
      <c r="Y98" s="381">
        <v>1000</v>
      </c>
    </row>
    <row r="99" spans="1:26" x14ac:dyDescent="0.2">
      <c r="A99" s="378" t="s">
        <v>34</v>
      </c>
      <c r="B99" s="372">
        <f>B94*2</f>
        <v>0</v>
      </c>
      <c r="C99" s="373">
        <f t="shared" ref="C99:X99" si="20">C94*2</f>
        <v>4.2220000000000004</v>
      </c>
      <c r="D99" s="373">
        <f t="shared" si="20"/>
        <v>19.37</v>
      </c>
      <c r="E99" s="373">
        <f t="shared" si="20"/>
        <v>50</v>
      </c>
      <c r="F99" s="373">
        <f t="shared" si="20"/>
        <v>31.475999999999999</v>
      </c>
      <c r="G99" s="373">
        <f t="shared" si="20"/>
        <v>24.943999999999999</v>
      </c>
      <c r="H99" s="373">
        <f t="shared" si="20"/>
        <v>21.34</v>
      </c>
      <c r="I99" s="373">
        <f t="shared" si="20"/>
        <v>19.425999999999998</v>
      </c>
      <c r="J99" s="373">
        <f t="shared" si="20"/>
        <v>18.356000000000002</v>
      </c>
      <c r="K99" s="373">
        <f t="shared" si="20"/>
        <v>17.792000000000002</v>
      </c>
      <c r="L99" s="373">
        <f t="shared" si="20"/>
        <v>17.850000000000001</v>
      </c>
      <c r="M99" s="373">
        <f t="shared" si="20"/>
        <v>17.398</v>
      </c>
      <c r="N99" s="373">
        <f t="shared" si="20"/>
        <v>16.103999999999999</v>
      </c>
      <c r="O99" s="373">
        <f t="shared" si="20"/>
        <v>13.907999999999999</v>
      </c>
      <c r="P99" s="373">
        <f t="shared" si="20"/>
        <v>2.14</v>
      </c>
      <c r="Q99" s="373">
        <f t="shared" si="20"/>
        <v>0</v>
      </c>
      <c r="R99" s="373">
        <f t="shared" si="20"/>
        <v>0</v>
      </c>
      <c r="S99" s="373">
        <f t="shared" si="20"/>
        <v>0</v>
      </c>
      <c r="T99" s="373">
        <f t="shared" si="20"/>
        <v>0</v>
      </c>
      <c r="U99" s="373">
        <f t="shared" si="20"/>
        <v>0</v>
      </c>
      <c r="V99" s="373">
        <f t="shared" si="20"/>
        <v>0</v>
      </c>
      <c r="W99" s="373">
        <f t="shared" si="20"/>
        <v>0</v>
      </c>
      <c r="X99" s="373">
        <f t="shared" si="20"/>
        <v>0</v>
      </c>
      <c r="Y99" s="382">
        <v>0</v>
      </c>
    </row>
    <row r="100" spans="1:26" ht="13.5" thickBot="1" x14ac:dyDescent="0.25">
      <c r="A100" s="379" t="s">
        <v>119</v>
      </c>
      <c r="B100" s="374">
        <f t="shared" ref="B100:X100" si="21">(C99+B99)*(C98-B98)/2</f>
        <v>8.4440000000000015E-2</v>
      </c>
      <c r="C100" s="375">
        <f t="shared" si="21"/>
        <v>0.89649600000000018</v>
      </c>
      <c r="D100" s="375">
        <f t="shared" si="21"/>
        <v>3.3644449999999999</v>
      </c>
      <c r="E100" s="375">
        <f t="shared" si="21"/>
        <v>2.973873999999999</v>
      </c>
      <c r="F100" s="375">
        <f t="shared" si="21"/>
        <v>1.2130300000000012</v>
      </c>
      <c r="G100" s="375">
        <f t="shared" si="21"/>
        <v>0.9256799999999995</v>
      </c>
      <c r="H100" s="375">
        <f t="shared" si="21"/>
        <v>1.0395329999999998</v>
      </c>
      <c r="I100" s="375">
        <f t="shared" si="21"/>
        <v>1.416825</v>
      </c>
      <c r="J100" s="375">
        <f t="shared" si="21"/>
        <v>1.8435479999999997</v>
      </c>
      <c r="K100" s="375">
        <f t="shared" si="21"/>
        <v>19.852594000000003</v>
      </c>
      <c r="L100" s="375">
        <f t="shared" si="21"/>
        <v>2.0267599999999999</v>
      </c>
      <c r="M100" s="375">
        <f t="shared" si="21"/>
        <v>1.5243409999999993</v>
      </c>
      <c r="N100" s="375">
        <f t="shared" si="21"/>
        <v>0.87034800000000079</v>
      </c>
      <c r="O100" s="375">
        <f t="shared" si="21"/>
        <v>1.8535439999999987</v>
      </c>
      <c r="P100" s="375">
        <f t="shared" si="21"/>
        <v>3.8520000000000033E-2</v>
      </c>
      <c r="Q100" s="375">
        <f t="shared" si="21"/>
        <v>0</v>
      </c>
      <c r="R100" s="375">
        <f t="shared" si="21"/>
        <v>0</v>
      </c>
      <c r="S100" s="375">
        <f t="shared" si="21"/>
        <v>0</v>
      </c>
      <c r="T100" s="375">
        <f t="shared" si="21"/>
        <v>0</v>
      </c>
      <c r="U100" s="375">
        <f t="shared" si="21"/>
        <v>0</v>
      </c>
      <c r="V100" s="375">
        <f t="shared" si="21"/>
        <v>0</v>
      </c>
      <c r="W100" s="375">
        <f t="shared" si="21"/>
        <v>0</v>
      </c>
      <c r="X100" s="375">
        <f t="shared" si="21"/>
        <v>0</v>
      </c>
      <c r="Y100" s="369"/>
    </row>
    <row r="101" spans="1:26" ht="13.5" thickBot="1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6" ht="13.5" thickBot="1" x14ac:dyDescent="0.25">
      <c r="A102" s="361" t="s">
        <v>546</v>
      </c>
      <c r="B102" s="359">
        <f>ROW(A102)</f>
        <v>102</v>
      </c>
      <c r="C102" s="363" t="s">
        <v>118</v>
      </c>
      <c r="D102" s="353">
        <f>SUM(B105:Y105)</f>
        <v>59.885967000000008</v>
      </c>
      <c r="E102" s="363" t="s">
        <v>117</v>
      </c>
      <c r="F102" s="354">
        <f>D102/g/J102</f>
        <v>118.30588744280874</v>
      </c>
      <c r="G102" s="363" t="s">
        <v>59</v>
      </c>
      <c r="H102" s="64">
        <f>H92*3</f>
        <v>8.4599999999999995E-2</v>
      </c>
      <c r="I102" s="363" t="s">
        <v>276</v>
      </c>
      <c r="J102" s="355">
        <f>H102-L102</f>
        <v>5.1599999999999993E-2</v>
      </c>
      <c r="K102" s="363" t="s">
        <v>277</v>
      </c>
      <c r="L102" s="64">
        <f>L92*3</f>
        <v>3.3000000000000002E-2</v>
      </c>
      <c r="M102" s="363" t="s">
        <v>60</v>
      </c>
      <c r="N102" s="65">
        <v>30</v>
      </c>
      <c r="O102" s="363" t="s">
        <v>62</v>
      </c>
      <c r="P102" s="65">
        <v>30</v>
      </c>
      <c r="Q102" s="363" t="s">
        <v>63</v>
      </c>
      <c r="R102" s="65">
        <v>70</v>
      </c>
      <c r="S102" s="363" t="s">
        <v>64</v>
      </c>
      <c r="T102" s="65">
        <v>40</v>
      </c>
      <c r="U102" s="363" t="s">
        <v>57</v>
      </c>
      <c r="V102" s="66" t="s">
        <v>407</v>
      </c>
      <c r="W102" s="463" t="s">
        <v>400</v>
      </c>
      <c r="X102" s="465">
        <v>2.1</v>
      </c>
      <c r="Y102" s="463" t="s">
        <v>399</v>
      </c>
      <c r="Z102" s="358">
        <v>7</v>
      </c>
    </row>
    <row r="103" spans="1:26" x14ac:dyDescent="0.2">
      <c r="A103" s="362" t="s">
        <v>33</v>
      </c>
      <c r="B103" s="370">
        <v>0</v>
      </c>
      <c r="C103" s="371">
        <f>C93</f>
        <v>0.04</v>
      </c>
      <c r="D103" s="371">
        <f t="shared" ref="D103:X103" si="22">D93</f>
        <v>0.11600000000000001</v>
      </c>
      <c r="E103" s="371">
        <f t="shared" si="22"/>
        <v>0.21299999999999999</v>
      </c>
      <c r="F103" s="371">
        <f t="shared" si="22"/>
        <v>0.28599999999999998</v>
      </c>
      <c r="G103" s="371">
        <f t="shared" si="22"/>
        <v>0.32900000000000001</v>
      </c>
      <c r="H103" s="371">
        <f t="shared" si="22"/>
        <v>0.36899999999999999</v>
      </c>
      <c r="I103" s="371">
        <f t="shared" si="22"/>
        <v>0.42</v>
      </c>
      <c r="J103" s="371">
        <f t="shared" si="22"/>
        <v>0.495</v>
      </c>
      <c r="K103" s="371">
        <f t="shared" si="22"/>
        <v>0.59699999999999998</v>
      </c>
      <c r="L103" s="371">
        <f t="shared" si="22"/>
        <v>1.7110000000000001</v>
      </c>
      <c r="M103" s="371">
        <f t="shared" si="22"/>
        <v>1.8260000000000001</v>
      </c>
      <c r="N103" s="371">
        <f t="shared" si="22"/>
        <v>1.917</v>
      </c>
      <c r="O103" s="371">
        <f t="shared" si="22"/>
        <v>1.9750000000000001</v>
      </c>
      <c r="P103" s="371">
        <f t="shared" si="22"/>
        <v>2.206</v>
      </c>
      <c r="Q103" s="371">
        <f t="shared" si="22"/>
        <v>2.242</v>
      </c>
      <c r="R103" s="371">
        <f t="shared" si="22"/>
        <v>2.5</v>
      </c>
      <c r="S103" s="371">
        <f t="shared" si="22"/>
        <v>2.5</v>
      </c>
      <c r="T103" s="371">
        <f t="shared" si="22"/>
        <v>2.5</v>
      </c>
      <c r="U103" s="371">
        <f t="shared" si="22"/>
        <v>2.5</v>
      </c>
      <c r="V103" s="371">
        <f t="shared" si="22"/>
        <v>2.5</v>
      </c>
      <c r="W103" s="371">
        <f t="shared" si="22"/>
        <v>2.5</v>
      </c>
      <c r="X103" s="371">
        <f t="shared" si="22"/>
        <v>2.5</v>
      </c>
      <c r="Y103" s="381">
        <v>1000</v>
      </c>
    </row>
    <row r="104" spans="1:26" x14ac:dyDescent="0.2">
      <c r="A104" s="378" t="s">
        <v>34</v>
      </c>
      <c r="B104" s="372">
        <f>B94*3</f>
        <v>0</v>
      </c>
      <c r="C104" s="373">
        <f t="shared" ref="C104:X104" si="23">C94*3</f>
        <v>6.3330000000000002</v>
      </c>
      <c r="D104" s="373">
        <f t="shared" si="23"/>
        <v>29.055</v>
      </c>
      <c r="E104" s="373">
        <f t="shared" si="23"/>
        <v>75</v>
      </c>
      <c r="F104" s="373">
        <f t="shared" si="23"/>
        <v>47.213999999999999</v>
      </c>
      <c r="G104" s="373">
        <f t="shared" si="23"/>
        <v>37.415999999999997</v>
      </c>
      <c r="H104" s="373">
        <f t="shared" si="23"/>
        <v>32.01</v>
      </c>
      <c r="I104" s="373">
        <f t="shared" si="23"/>
        <v>29.138999999999996</v>
      </c>
      <c r="J104" s="373">
        <f t="shared" si="23"/>
        <v>27.534000000000002</v>
      </c>
      <c r="K104" s="373">
        <f t="shared" si="23"/>
        <v>26.688000000000002</v>
      </c>
      <c r="L104" s="373">
        <f t="shared" si="23"/>
        <v>26.775000000000002</v>
      </c>
      <c r="M104" s="373">
        <f t="shared" si="23"/>
        <v>26.097000000000001</v>
      </c>
      <c r="N104" s="373">
        <f t="shared" si="23"/>
        <v>24.155999999999999</v>
      </c>
      <c r="O104" s="373">
        <f t="shared" si="23"/>
        <v>20.861999999999998</v>
      </c>
      <c r="P104" s="373">
        <f t="shared" si="23"/>
        <v>3.21</v>
      </c>
      <c r="Q104" s="373">
        <f t="shared" si="23"/>
        <v>0</v>
      </c>
      <c r="R104" s="373">
        <f t="shared" si="23"/>
        <v>0</v>
      </c>
      <c r="S104" s="373">
        <f t="shared" si="23"/>
        <v>0</v>
      </c>
      <c r="T104" s="373">
        <f t="shared" si="23"/>
        <v>0</v>
      </c>
      <c r="U104" s="373">
        <f t="shared" si="23"/>
        <v>0</v>
      </c>
      <c r="V104" s="373">
        <f t="shared" si="23"/>
        <v>0</v>
      </c>
      <c r="W104" s="373">
        <f t="shared" si="23"/>
        <v>0</v>
      </c>
      <c r="X104" s="373">
        <f t="shared" si="23"/>
        <v>0</v>
      </c>
      <c r="Y104" s="382">
        <v>0</v>
      </c>
    </row>
    <row r="105" spans="1:26" ht="13.5" thickBot="1" x14ac:dyDescent="0.25">
      <c r="A105" s="379" t="s">
        <v>119</v>
      </c>
      <c r="B105" s="374">
        <f t="shared" ref="B105:X105" si="24">(C104+B104)*(C103-B103)/2</f>
        <v>0.12665999999999999</v>
      </c>
      <c r="C105" s="375">
        <f t="shared" si="24"/>
        <v>1.3447440000000002</v>
      </c>
      <c r="D105" s="375">
        <f t="shared" si="24"/>
        <v>5.0466674999999999</v>
      </c>
      <c r="E105" s="375">
        <f t="shared" si="24"/>
        <v>4.4608109999999987</v>
      </c>
      <c r="F105" s="375">
        <f t="shared" si="24"/>
        <v>1.8195450000000015</v>
      </c>
      <c r="G105" s="375">
        <f t="shared" si="24"/>
        <v>1.3885199999999991</v>
      </c>
      <c r="H105" s="375">
        <f t="shared" si="24"/>
        <v>1.5592994999999996</v>
      </c>
      <c r="I105" s="375">
        <f t="shared" si="24"/>
        <v>2.1252375000000003</v>
      </c>
      <c r="J105" s="375">
        <f t="shared" si="24"/>
        <v>2.7653219999999998</v>
      </c>
      <c r="K105" s="375">
        <f t="shared" si="24"/>
        <v>29.778891000000009</v>
      </c>
      <c r="L105" s="375">
        <f t="shared" si="24"/>
        <v>3.0401399999999996</v>
      </c>
      <c r="M105" s="375">
        <f t="shared" si="24"/>
        <v>2.2865114999999991</v>
      </c>
      <c r="N105" s="375">
        <f t="shared" si="24"/>
        <v>1.3055220000000012</v>
      </c>
      <c r="O105" s="375">
        <f t="shared" si="24"/>
        <v>2.7803159999999982</v>
      </c>
      <c r="P105" s="375">
        <f t="shared" si="24"/>
        <v>5.7780000000000054E-2</v>
      </c>
      <c r="Q105" s="375">
        <f t="shared" si="24"/>
        <v>0</v>
      </c>
      <c r="R105" s="375">
        <f t="shared" si="24"/>
        <v>0</v>
      </c>
      <c r="S105" s="375">
        <f t="shared" si="24"/>
        <v>0</v>
      </c>
      <c r="T105" s="375">
        <f t="shared" si="24"/>
        <v>0</v>
      </c>
      <c r="U105" s="375">
        <f t="shared" si="24"/>
        <v>0</v>
      </c>
      <c r="V105" s="375">
        <f t="shared" si="24"/>
        <v>0</v>
      </c>
      <c r="W105" s="375">
        <f t="shared" si="24"/>
        <v>0</v>
      </c>
      <c r="X105" s="375">
        <f t="shared" si="24"/>
        <v>0</v>
      </c>
      <c r="Y105" s="369"/>
    </row>
    <row r="107" spans="1:26" ht="13.5" thickBot="1" x14ac:dyDescent="0.25">
      <c r="A107" s="6" t="s">
        <v>322</v>
      </c>
    </row>
    <row r="108" spans="1:26" ht="13.5" thickBot="1" x14ac:dyDescent="0.25">
      <c r="A108" s="361" t="s">
        <v>325</v>
      </c>
      <c r="B108" s="359">
        <f>ROW(A108)</f>
        <v>108</v>
      </c>
      <c r="C108" s="363" t="s">
        <v>118</v>
      </c>
      <c r="D108" s="353">
        <f>SUM(B111:Y111)</f>
        <v>24.269519000000003</v>
      </c>
      <c r="E108" s="363" t="s">
        <v>117</v>
      </c>
      <c r="F108" s="354">
        <f>D108/g/J108</f>
        <v>154.62231778797147</v>
      </c>
      <c r="G108" s="363" t="s">
        <v>59</v>
      </c>
      <c r="H108" s="64">
        <v>5.1999999999999998E-2</v>
      </c>
      <c r="I108" s="363" t="s">
        <v>276</v>
      </c>
      <c r="J108" s="355">
        <f>H108-L108</f>
        <v>1.6E-2</v>
      </c>
      <c r="K108" s="363" t="s">
        <v>277</v>
      </c>
      <c r="L108" s="64">
        <v>3.5999999999999997E-2</v>
      </c>
      <c r="M108" s="363" t="s">
        <v>60</v>
      </c>
      <c r="N108" s="396">
        <v>35</v>
      </c>
      <c r="O108" s="363" t="s">
        <v>62</v>
      </c>
      <c r="P108" s="396">
        <v>35</v>
      </c>
      <c r="Q108" s="363" t="s">
        <v>63</v>
      </c>
      <c r="R108" s="65">
        <v>69</v>
      </c>
      <c r="S108" s="363" t="s">
        <v>64</v>
      </c>
      <c r="T108" s="65">
        <v>24</v>
      </c>
      <c r="U108" s="363" t="s">
        <v>57</v>
      </c>
      <c r="V108" s="66" t="s">
        <v>405</v>
      </c>
      <c r="W108" s="463" t="s">
        <v>400</v>
      </c>
      <c r="X108" s="465">
        <v>1</v>
      </c>
      <c r="Y108" s="463" t="s">
        <v>399</v>
      </c>
      <c r="Z108" s="358">
        <v>13</v>
      </c>
    </row>
    <row r="109" spans="1:26" x14ac:dyDescent="0.2">
      <c r="A109" s="362" t="s">
        <v>33</v>
      </c>
      <c r="B109" s="370">
        <v>0</v>
      </c>
      <c r="C109" s="371">
        <v>8.0000000000000002E-3</v>
      </c>
      <c r="D109" s="371">
        <v>2.5999999999999999E-2</v>
      </c>
      <c r="E109" s="371">
        <v>3.7999999999999999E-2</v>
      </c>
      <c r="F109" s="371">
        <v>6.7000000000000004E-2</v>
      </c>
      <c r="G109" s="371">
        <v>0.10100000000000001</v>
      </c>
      <c r="H109" s="371">
        <v>0.33</v>
      </c>
      <c r="I109" s="371">
        <v>0.52800000000000002</v>
      </c>
      <c r="J109" s="371">
        <v>0.71599999999999997</v>
      </c>
      <c r="K109" s="371">
        <v>0.84099999999999997</v>
      </c>
      <c r="L109" s="371">
        <v>0.91200000000000003</v>
      </c>
      <c r="M109" s="371">
        <v>0.98699999999999999</v>
      </c>
      <c r="N109" s="371">
        <v>1.016</v>
      </c>
      <c r="O109" s="371">
        <v>1.0649999999999999</v>
      </c>
      <c r="P109" s="371">
        <v>1.087</v>
      </c>
      <c r="Q109" s="371">
        <v>2</v>
      </c>
      <c r="R109" s="371">
        <v>2</v>
      </c>
      <c r="S109" s="371">
        <v>2</v>
      </c>
      <c r="T109" s="371">
        <v>2</v>
      </c>
      <c r="U109" s="371">
        <v>2</v>
      </c>
      <c r="V109" s="371">
        <v>2</v>
      </c>
      <c r="W109" s="371">
        <v>2</v>
      </c>
      <c r="X109" s="371">
        <v>2</v>
      </c>
      <c r="Y109" s="381">
        <v>1000</v>
      </c>
    </row>
    <row r="110" spans="1:26" x14ac:dyDescent="0.2">
      <c r="A110" s="378" t="s">
        <v>34</v>
      </c>
      <c r="B110" s="372">
        <v>0</v>
      </c>
      <c r="C110" s="373">
        <v>18.292000000000002</v>
      </c>
      <c r="D110" s="373">
        <v>30</v>
      </c>
      <c r="E110" s="373">
        <v>30.792000000000002</v>
      </c>
      <c r="F110" s="373">
        <v>18.707999999999998</v>
      </c>
      <c r="G110" s="373">
        <v>21.875</v>
      </c>
      <c r="H110" s="373">
        <v>26.082999999999998</v>
      </c>
      <c r="I110" s="373">
        <v>28.042000000000002</v>
      </c>
      <c r="J110" s="373">
        <v>27.875</v>
      </c>
      <c r="K110" s="373">
        <v>23.542000000000002</v>
      </c>
      <c r="L110" s="373">
        <v>17.832999999999998</v>
      </c>
      <c r="M110" s="373">
        <v>7</v>
      </c>
      <c r="N110" s="373">
        <v>3.3330000000000002</v>
      </c>
      <c r="O110" s="373">
        <v>1.083</v>
      </c>
      <c r="P110" s="373">
        <v>0</v>
      </c>
      <c r="Q110" s="373">
        <v>0</v>
      </c>
      <c r="R110" s="373">
        <v>0</v>
      </c>
      <c r="S110" s="373">
        <v>0</v>
      </c>
      <c r="T110" s="373">
        <f>S110</f>
        <v>0</v>
      </c>
      <c r="U110" s="373">
        <f>T110</f>
        <v>0</v>
      </c>
      <c r="V110" s="373">
        <f>U110</f>
        <v>0</v>
      </c>
      <c r="W110" s="373">
        <f>V110</f>
        <v>0</v>
      </c>
      <c r="X110" s="373">
        <f>W110</f>
        <v>0</v>
      </c>
      <c r="Y110" s="382">
        <v>0</v>
      </c>
    </row>
    <row r="111" spans="1:26" ht="13.5" thickBot="1" x14ac:dyDescent="0.25">
      <c r="A111" s="379" t="s">
        <v>119</v>
      </c>
      <c r="B111" s="374">
        <f t="shared" ref="B111:V111" si="25">(C110+B110)*(C109-B109)/2</f>
        <v>7.3168000000000011E-2</v>
      </c>
      <c r="C111" s="375">
        <f t="shared" si="25"/>
        <v>0.43462799999999996</v>
      </c>
      <c r="D111" s="375">
        <f t="shared" si="25"/>
        <v>0.36475200000000002</v>
      </c>
      <c r="E111" s="375">
        <f t="shared" si="25"/>
        <v>0.71775000000000011</v>
      </c>
      <c r="F111" s="375">
        <f t="shared" si="25"/>
        <v>0.68991100000000005</v>
      </c>
      <c r="G111" s="375">
        <f t="shared" si="25"/>
        <v>5.4911909999999997</v>
      </c>
      <c r="H111" s="375">
        <f t="shared" si="25"/>
        <v>5.3583750000000006</v>
      </c>
      <c r="I111" s="375">
        <f t="shared" si="25"/>
        <v>5.2561979999999986</v>
      </c>
      <c r="J111" s="375">
        <f>(K110+J110)*(K109-J109)/2</f>
        <v>3.2135625000000001</v>
      </c>
      <c r="K111" s="375">
        <f t="shared" si="25"/>
        <v>1.4688125000000014</v>
      </c>
      <c r="L111" s="375">
        <f t="shared" si="25"/>
        <v>0.93123749999999939</v>
      </c>
      <c r="M111" s="375">
        <f t="shared" si="25"/>
        <v>0.14982850000000014</v>
      </c>
      <c r="N111" s="375">
        <f t="shared" si="25"/>
        <v>0.10819199999999986</v>
      </c>
      <c r="O111" s="375">
        <f t="shared" si="25"/>
        <v>1.191300000000001E-2</v>
      </c>
      <c r="P111" s="375">
        <f t="shared" si="25"/>
        <v>0</v>
      </c>
      <c r="Q111" s="375">
        <f t="shared" si="25"/>
        <v>0</v>
      </c>
      <c r="R111" s="375">
        <f t="shared" si="25"/>
        <v>0</v>
      </c>
      <c r="S111" s="375">
        <f>(T110+S110)*(T109-S109)/2</f>
        <v>0</v>
      </c>
      <c r="T111" s="375">
        <f t="shared" si="25"/>
        <v>0</v>
      </c>
      <c r="U111" s="375">
        <f t="shared" si="25"/>
        <v>0</v>
      </c>
      <c r="V111" s="375">
        <f t="shared" si="25"/>
        <v>0</v>
      </c>
      <c r="W111" s="375">
        <f>(X110+W110)*(X109-W109)/2</f>
        <v>0</v>
      </c>
      <c r="X111" s="375">
        <f>(Y110+X110)*(Y109-X109)/2</f>
        <v>0</v>
      </c>
      <c r="Y111" s="369"/>
    </row>
    <row r="112" spans="1:26" ht="13.5" thickBot="1" x14ac:dyDescent="0.25"/>
    <row r="113" spans="1:26" ht="13.5" thickBot="1" x14ac:dyDescent="0.25">
      <c r="A113" s="361" t="s">
        <v>423</v>
      </c>
      <c r="B113" s="359">
        <f>ROW(A113)</f>
        <v>113</v>
      </c>
      <c r="C113" s="363" t="s">
        <v>118</v>
      </c>
      <c r="D113" s="353">
        <f>SUM(B116:Y116)</f>
        <v>24.488898000000002</v>
      </c>
      <c r="E113" s="363" t="s">
        <v>117</v>
      </c>
      <c r="F113" s="354">
        <f>D113/g/J113</f>
        <v>121.771701350041</v>
      </c>
      <c r="G113" s="363" t="s">
        <v>59</v>
      </c>
      <c r="H113" s="64">
        <v>5.6500000000000002E-2</v>
      </c>
      <c r="I113" s="363" t="s">
        <v>276</v>
      </c>
      <c r="J113" s="355">
        <f>H113-L113</f>
        <v>2.0500000000000004E-2</v>
      </c>
      <c r="K113" s="363" t="s">
        <v>277</v>
      </c>
      <c r="L113" s="64">
        <v>3.5999999999999997E-2</v>
      </c>
      <c r="M113" s="363" t="s">
        <v>60</v>
      </c>
      <c r="N113" s="396">
        <v>35</v>
      </c>
      <c r="O113" s="363" t="s">
        <v>62</v>
      </c>
      <c r="P113" s="396">
        <v>35</v>
      </c>
      <c r="Q113" s="363" t="s">
        <v>63</v>
      </c>
      <c r="R113" s="65">
        <v>69</v>
      </c>
      <c r="S113" s="363" t="s">
        <v>64</v>
      </c>
      <c r="T113" s="65">
        <v>24</v>
      </c>
      <c r="U113" s="363" t="s">
        <v>57</v>
      </c>
      <c r="V113" s="66" t="s">
        <v>406</v>
      </c>
      <c r="W113" s="463" t="s">
        <v>400</v>
      </c>
      <c r="X113" s="465">
        <v>0.33</v>
      </c>
      <c r="Y113" s="463" t="s">
        <v>399</v>
      </c>
      <c r="Z113" s="358">
        <v>17</v>
      </c>
    </row>
    <row r="114" spans="1:26" x14ac:dyDescent="0.2">
      <c r="A114" s="362" t="s">
        <v>33</v>
      </c>
      <c r="B114" s="370">
        <v>0</v>
      </c>
      <c r="C114" s="371">
        <v>8.9999999999999993E-3</v>
      </c>
      <c r="D114" s="371">
        <v>1.2E-2</v>
      </c>
      <c r="E114" s="371">
        <v>2.3E-2</v>
      </c>
      <c r="F114" s="371">
        <v>2.7E-2</v>
      </c>
      <c r="G114" s="371">
        <v>4.7E-2</v>
      </c>
      <c r="H114" s="371">
        <v>9.1999999999999998E-2</v>
      </c>
      <c r="I114" s="371">
        <v>0.11799999999999999</v>
      </c>
      <c r="J114" s="371">
        <v>0.14099999999999999</v>
      </c>
      <c r="K114" s="371">
        <v>0.192</v>
      </c>
      <c r="L114" s="371">
        <v>0.222</v>
      </c>
      <c r="M114" s="371">
        <v>0.25</v>
      </c>
      <c r="N114" s="371">
        <v>0.26</v>
      </c>
      <c r="O114" s="371">
        <v>0.28100000000000003</v>
      </c>
      <c r="P114" s="371">
        <v>0.28699999999999998</v>
      </c>
      <c r="Q114" s="371">
        <v>0.30599999999999999</v>
      </c>
      <c r="R114" s="371">
        <v>0.314</v>
      </c>
      <c r="S114" s="371">
        <v>0.32600000000000001</v>
      </c>
      <c r="T114" s="371">
        <v>0.32900000000000001</v>
      </c>
      <c r="U114" s="371">
        <v>0.5</v>
      </c>
      <c r="V114" s="371">
        <v>1</v>
      </c>
      <c r="W114" s="371">
        <v>2</v>
      </c>
      <c r="X114" s="371">
        <v>2</v>
      </c>
      <c r="Y114" s="381">
        <v>1000</v>
      </c>
    </row>
    <row r="115" spans="1:26" x14ac:dyDescent="0.2">
      <c r="A115" s="378" t="s">
        <v>34</v>
      </c>
      <c r="B115" s="372">
        <v>0</v>
      </c>
      <c r="C115" s="373">
        <v>84.212999999999994</v>
      </c>
      <c r="D115" s="373">
        <v>95.099000000000004</v>
      </c>
      <c r="E115" s="373">
        <v>77.08</v>
      </c>
      <c r="F115" s="373">
        <v>68.697000000000003</v>
      </c>
      <c r="G115" s="373">
        <v>73.451999999999998</v>
      </c>
      <c r="H115" s="373">
        <v>81.834999999999994</v>
      </c>
      <c r="I115" s="373">
        <v>83.837000000000003</v>
      </c>
      <c r="J115" s="373">
        <v>86.465000000000003</v>
      </c>
      <c r="K115" s="373">
        <v>86.965999999999994</v>
      </c>
      <c r="L115" s="373">
        <v>85.338999999999999</v>
      </c>
      <c r="M115" s="373">
        <v>80.082999999999998</v>
      </c>
      <c r="N115" s="373">
        <v>78.331999999999994</v>
      </c>
      <c r="O115" s="373">
        <v>82.960999999999999</v>
      </c>
      <c r="P115" s="373">
        <v>78.206000000000003</v>
      </c>
      <c r="Q115" s="373">
        <v>24.776</v>
      </c>
      <c r="R115" s="373">
        <v>14.14</v>
      </c>
      <c r="S115" s="373">
        <v>8.5090000000000003</v>
      </c>
      <c r="T115" s="373">
        <v>0</v>
      </c>
      <c r="U115" s="373">
        <f>T115</f>
        <v>0</v>
      </c>
      <c r="V115" s="373">
        <f>U115</f>
        <v>0</v>
      </c>
      <c r="W115" s="373">
        <f>V115</f>
        <v>0</v>
      </c>
      <c r="X115" s="373">
        <f>W115</f>
        <v>0</v>
      </c>
      <c r="Y115" s="382">
        <v>0</v>
      </c>
    </row>
    <row r="116" spans="1:26" ht="13.5" thickBot="1" x14ac:dyDescent="0.25">
      <c r="A116" s="379" t="s">
        <v>119</v>
      </c>
      <c r="B116" s="374">
        <f t="shared" ref="B116:V116" si="26">(C115+B115)*(C114-B114)/2</f>
        <v>0.37895849999999992</v>
      </c>
      <c r="C116" s="375">
        <f t="shared" si="26"/>
        <v>0.2689680000000001</v>
      </c>
      <c r="D116" s="375">
        <f t="shared" si="26"/>
        <v>0.94698450000000001</v>
      </c>
      <c r="E116" s="375">
        <f t="shared" si="26"/>
        <v>0.29155399999999998</v>
      </c>
      <c r="F116" s="375">
        <f t="shared" si="26"/>
        <v>1.4214900000000001</v>
      </c>
      <c r="G116" s="375">
        <f t="shared" si="26"/>
        <v>3.4939574999999992</v>
      </c>
      <c r="H116" s="375">
        <f t="shared" si="26"/>
        <v>2.1537359999999994</v>
      </c>
      <c r="I116" s="375">
        <f t="shared" si="26"/>
        <v>1.9584729999999997</v>
      </c>
      <c r="J116" s="375">
        <f>(K115+J115)*(K114-J114)/2</f>
        <v>4.4224905000000012</v>
      </c>
      <c r="K116" s="375">
        <f t="shared" si="26"/>
        <v>2.5845750000000001</v>
      </c>
      <c r="L116" s="375">
        <f t="shared" si="26"/>
        <v>2.3159079999999999</v>
      </c>
      <c r="M116" s="375">
        <f t="shared" si="26"/>
        <v>0.79207500000000064</v>
      </c>
      <c r="N116" s="375">
        <f t="shared" si="26"/>
        <v>1.6935765000000016</v>
      </c>
      <c r="O116" s="375">
        <f t="shared" si="26"/>
        <v>0.48350099999999596</v>
      </c>
      <c r="P116" s="375">
        <f t="shared" si="26"/>
        <v>0.97832900000000089</v>
      </c>
      <c r="Q116" s="375">
        <f t="shared" si="26"/>
        <v>0.15566400000000014</v>
      </c>
      <c r="R116" s="375">
        <f t="shared" si="26"/>
        <v>0.13589400000000013</v>
      </c>
      <c r="S116" s="375">
        <f>(T115+S115)*(T114-S114)/2</f>
        <v>1.2763500000000013E-2</v>
      </c>
      <c r="T116" s="375">
        <f t="shared" si="26"/>
        <v>0</v>
      </c>
      <c r="U116" s="375">
        <f t="shared" si="26"/>
        <v>0</v>
      </c>
      <c r="V116" s="375">
        <f t="shared" si="26"/>
        <v>0</v>
      </c>
      <c r="W116" s="375">
        <f>(X115+W115)*(X114-W114)/2</f>
        <v>0</v>
      </c>
      <c r="X116" s="375">
        <f>(Y115+X115)*(Y114-X114)/2</f>
        <v>0</v>
      </c>
      <c r="Y116" s="369"/>
    </row>
    <row r="117" spans="1:26" ht="13.5" thickBot="1" x14ac:dyDescent="0.25"/>
    <row r="118" spans="1:26" ht="13.5" thickBot="1" x14ac:dyDescent="0.25">
      <c r="A118" s="361" t="s">
        <v>326</v>
      </c>
      <c r="B118" s="359">
        <f>ROW(A118)</f>
        <v>118</v>
      </c>
      <c r="C118" s="363" t="s">
        <v>118</v>
      </c>
      <c r="D118" s="353">
        <f>SUM(B121:Y121)</f>
        <v>26.083982500000001</v>
      </c>
      <c r="E118" s="363" t="s">
        <v>117</v>
      </c>
      <c r="F118" s="354">
        <f>D118/g/J118</f>
        <v>166.18235537716615</v>
      </c>
      <c r="G118" s="363" t="s">
        <v>59</v>
      </c>
      <c r="H118" s="64">
        <v>5.1999999999999998E-2</v>
      </c>
      <c r="I118" s="363" t="s">
        <v>276</v>
      </c>
      <c r="J118" s="355">
        <f>H118-L118</f>
        <v>1.6E-2</v>
      </c>
      <c r="K118" s="363" t="s">
        <v>277</v>
      </c>
      <c r="L118" s="64">
        <v>3.5999999999999997E-2</v>
      </c>
      <c r="M118" s="363" t="s">
        <v>60</v>
      </c>
      <c r="N118" s="396">
        <v>35</v>
      </c>
      <c r="O118" s="363" t="s">
        <v>62</v>
      </c>
      <c r="P118" s="396">
        <v>35</v>
      </c>
      <c r="Q118" s="363" t="s">
        <v>63</v>
      </c>
      <c r="R118" s="65">
        <v>69</v>
      </c>
      <c r="S118" s="363" t="s">
        <v>64</v>
      </c>
      <c r="T118" s="65">
        <v>24</v>
      </c>
      <c r="U118" s="363" t="s">
        <v>57</v>
      </c>
      <c r="V118" s="66" t="s">
        <v>405</v>
      </c>
      <c r="W118" s="463" t="s">
        <v>400</v>
      </c>
      <c r="X118" s="465">
        <v>0.85</v>
      </c>
      <c r="Y118" s="463" t="s">
        <v>399</v>
      </c>
      <c r="Z118" s="358">
        <v>15</v>
      </c>
    </row>
    <row r="119" spans="1:26" x14ac:dyDescent="0.2">
      <c r="A119" s="362" t="s">
        <v>33</v>
      </c>
      <c r="B119" s="370">
        <v>0</v>
      </c>
      <c r="C119" s="371">
        <v>0.02</v>
      </c>
      <c r="D119" s="371">
        <v>2.7E-2</v>
      </c>
      <c r="E119" s="371">
        <v>4.9000000000000002E-2</v>
      </c>
      <c r="F119" s="371">
        <v>0.113</v>
      </c>
      <c r="G119" s="371">
        <v>0.193</v>
      </c>
      <c r="H119" s="371">
        <v>0.28199999999999997</v>
      </c>
      <c r="I119" s="371">
        <v>0.5</v>
      </c>
      <c r="J119" s="371">
        <v>0.72699999999999998</v>
      </c>
      <c r="K119" s="371">
        <v>0.77100000000000002</v>
      </c>
      <c r="L119" s="371">
        <v>0.80700000000000005</v>
      </c>
      <c r="M119" s="371">
        <v>0.84</v>
      </c>
      <c r="N119" s="371">
        <v>0.87</v>
      </c>
      <c r="O119" s="371">
        <v>1</v>
      </c>
      <c r="P119" s="371">
        <v>1</v>
      </c>
      <c r="Q119" s="371">
        <v>1</v>
      </c>
      <c r="R119" s="371">
        <v>1</v>
      </c>
      <c r="S119" s="371">
        <v>1</v>
      </c>
      <c r="T119" s="371">
        <v>1</v>
      </c>
      <c r="U119" s="371">
        <v>1</v>
      </c>
      <c r="V119" s="371">
        <v>1</v>
      </c>
      <c r="W119" s="371">
        <v>1</v>
      </c>
      <c r="X119" s="371">
        <v>2</v>
      </c>
      <c r="Y119" s="381">
        <v>1000</v>
      </c>
    </row>
    <row r="120" spans="1:26" x14ac:dyDescent="0.2">
      <c r="A120" s="378" t="s">
        <v>34</v>
      </c>
      <c r="B120" s="372">
        <v>0</v>
      </c>
      <c r="C120" s="373">
        <v>43.823999999999998</v>
      </c>
      <c r="D120" s="373">
        <v>39.963999999999999</v>
      </c>
      <c r="E120" s="373">
        <v>26.780999999999999</v>
      </c>
      <c r="F120" s="373">
        <v>32.600999999999999</v>
      </c>
      <c r="G120" s="373">
        <v>34.738999999999997</v>
      </c>
      <c r="H120" s="373">
        <v>35.808</v>
      </c>
      <c r="I120" s="373">
        <v>34.442</v>
      </c>
      <c r="J120" s="373">
        <v>29.276</v>
      </c>
      <c r="K120" s="373">
        <v>22.742999999999999</v>
      </c>
      <c r="L120" s="373">
        <v>9.5609999999999999</v>
      </c>
      <c r="M120" s="373">
        <v>3.5630000000000002</v>
      </c>
      <c r="N120" s="373">
        <v>0</v>
      </c>
      <c r="O120" s="373">
        <v>0</v>
      </c>
      <c r="P120" s="373">
        <v>0</v>
      </c>
      <c r="Q120" s="373">
        <v>0</v>
      </c>
      <c r="R120" s="373">
        <v>0</v>
      </c>
      <c r="S120" s="373">
        <v>0</v>
      </c>
      <c r="T120" s="373">
        <f>S120</f>
        <v>0</v>
      </c>
      <c r="U120" s="373">
        <f>T120</f>
        <v>0</v>
      </c>
      <c r="V120" s="373">
        <f>U120</f>
        <v>0</v>
      </c>
      <c r="W120" s="373">
        <f>V120</f>
        <v>0</v>
      </c>
      <c r="X120" s="373">
        <f>W120</f>
        <v>0</v>
      </c>
      <c r="Y120" s="382">
        <v>0</v>
      </c>
    </row>
    <row r="121" spans="1:26" ht="13.5" thickBot="1" x14ac:dyDescent="0.25">
      <c r="A121" s="379" t="s">
        <v>119</v>
      </c>
      <c r="B121" s="374">
        <f t="shared" ref="B121:V121" si="27">(C120+B120)*(C119-B119)/2</f>
        <v>0.43823999999999996</v>
      </c>
      <c r="C121" s="375">
        <f t="shared" si="27"/>
        <v>0.29325799999999996</v>
      </c>
      <c r="D121" s="375">
        <f t="shared" si="27"/>
        <v>0.73419500000000015</v>
      </c>
      <c r="E121" s="375">
        <f t="shared" si="27"/>
        <v>1.9002239999999999</v>
      </c>
      <c r="F121" s="375">
        <f t="shared" si="27"/>
        <v>2.6936</v>
      </c>
      <c r="G121" s="375">
        <f t="shared" si="27"/>
        <v>3.1393414999999987</v>
      </c>
      <c r="H121" s="375">
        <f t="shared" si="27"/>
        <v>7.6572500000000012</v>
      </c>
      <c r="I121" s="375">
        <f t="shared" si="27"/>
        <v>7.2319930000000001</v>
      </c>
      <c r="J121" s="375">
        <f>(K120+J120)*(K119-J119)/2</f>
        <v>1.144418000000001</v>
      </c>
      <c r="K121" s="375">
        <f t="shared" si="27"/>
        <v>0.58147200000000054</v>
      </c>
      <c r="L121" s="375">
        <f t="shared" si="27"/>
        <v>0.21654599999999946</v>
      </c>
      <c r="M121" s="375">
        <f t="shared" si="27"/>
        <v>5.3445000000000048E-2</v>
      </c>
      <c r="N121" s="375">
        <f t="shared" si="27"/>
        <v>0</v>
      </c>
      <c r="O121" s="375">
        <f t="shared" si="27"/>
        <v>0</v>
      </c>
      <c r="P121" s="375">
        <f t="shared" si="27"/>
        <v>0</v>
      </c>
      <c r="Q121" s="375">
        <f t="shared" si="27"/>
        <v>0</v>
      </c>
      <c r="R121" s="375">
        <f t="shared" si="27"/>
        <v>0</v>
      </c>
      <c r="S121" s="375">
        <f>(T120+S120)*(T119-S119)/2</f>
        <v>0</v>
      </c>
      <c r="T121" s="375">
        <f t="shared" si="27"/>
        <v>0</v>
      </c>
      <c r="U121" s="375">
        <f t="shared" si="27"/>
        <v>0</v>
      </c>
      <c r="V121" s="375">
        <f t="shared" si="27"/>
        <v>0</v>
      </c>
      <c r="W121" s="375">
        <f>(X120+W120)*(X119-W119)/2</f>
        <v>0</v>
      </c>
      <c r="X121" s="375">
        <f>(Y120+X120)*(Y119-X119)/2</f>
        <v>0</v>
      </c>
      <c r="Y121" s="369"/>
    </row>
    <row r="122" spans="1:26" ht="13.5" thickBot="1" x14ac:dyDescent="0.25">
      <c r="A122" s="6" t="s">
        <v>395</v>
      </c>
    </row>
    <row r="123" spans="1:26" ht="13.5" thickBot="1" x14ac:dyDescent="0.25">
      <c r="A123" s="361" t="s">
        <v>396</v>
      </c>
      <c r="B123" s="359">
        <f>ROW(A123)</f>
        <v>123</v>
      </c>
      <c r="C123" s="363" t="s">
        <v>118</v>
      </c>
      <c r="D123" s="353">
        <f>SUM(B126:Y126)</f>
        <v>49.788765499999997</v>
      </c>
      <c r="E123" s="363" t="s">
        <v>117</v>
      </c>
      <c r="F123" s="354">
        <v>231</v>
      </c>
      <c r="G123" s="363" t="s">
        <v>59</v>
      </c>
      <c r="H123" s="64">
        <v>7.2999999999999995E-2</v>
      </c>
      <c r="I123" s="363" t="s">
        <v>276</v>
      </c>
      <c r="J123" s="355">
        <f>H123-L123</f>
        <v>2.7999999999999997E-2</v>
      </c>
      <c r="K123" s="363" t="s">
        <v>277</v>
      </c>
      <c r="L123" s="64">
        <v>4.4999999999999998E-2</v>
      </c>
      <c r="M123" s="363" t="s">
        <v>60</v>
      </c>
      <c r="N123" s="396">
        <v>50</v>
      </c>
      <c r="O123" s="363" t="s">
        <v>62</v>
      </c>
      <c r="P123" s="396">
        <v>50</v>
      </c>
      <c r="Q123" s="363" t="s">
        <v>63</v>
      </c>
      <c r="R123" s="65">
        <v>101</v>
      </c>
      <c r="S123" s="363" t="s">
        <v>64</v>
      </c>
      <c r="T123" s="65">
        <v>24</v>
      </c>
      <c r="U123" s="363" t="s">
        <v>57</v>
      </c>
      <c r="V123" s="66" t="s">
        <v>122</v>
      </c>
      <c r="W123" s="463" t="s">
        <v>400</v>
      </c>
      <c r="X123" s="465">
        <v>1</v>
      </c>
      <c r="Y123" s="463" t="s">
        <v>399</v>
      </c>
      <c r="Z123" s="358">
        <v>13</v>
      </c>
    </row>
    <row r="124" spans="1:26" x14ac:dyDescent="0.2">
      <c r="A124" s="362" t="s">
        <v>33</v>
      </c>
      <c r="B124" s="471">
        <v>0</v>
      </c>
      <c r="C124" s="471">
        <v>1E-3</v>
      </c>
      <c r="D124" s="471">
        <v>2.7E-2</v>
      </c>
      <c r="E124" s="471">
        <v>5.0999999999999997E-2</v>
      </c>
      <c r="F124" s="471">
        <v>0.06</v>
      </c>
      <c r="G124" s="471">
        <v>9.1999999999999998E-2</v>
      </c>
      <c r="H124" s="471">
        <v>0.11899999999999999</v>
      </c>
      <c r="I124" s="471">
        <v>0.17</v>
      </c>
      <c r="J124" s="471">
        <v>0.3</v>
      </c>
      <c r="K124" s="471">
        <v>0.46200000000000002</v>
      </c>
      <c r="L124" s="471">
        <v>0.56899999999999995</v>
      </c>
      <c r="M124" s="471">
        <v>0.67500000000000004</v>
      </c>
      <c r="N124" s="471">
        <v>0.77800000000000002</v>
      </c>
      <c r="O124" s="471">
        <v>0.84599999999999997</v>
      </c>
      <c r="P124" s="471">
        <v>0.91700000000000004</v>
      </c>
      <c r="Q124" s="471">
        <v>1.0089999999999999</v>
      </c>
      <c r="R124" s="471">
        <v>1.032</v>
      </c>
      <c r="S124" s="471">
        <v>1.0449999999999999</v>
      </c>
      <c r="T124" s="371">
        <v>2</v>
      </c>
      <c r="U124" s="371">
        <v>2</v>
      </c>
      <c r="V124" s="371">
        <v>2</v>
      </c>
      <c r="W124" s="371">
        <v>2</v>
      </c>
      <c r="X124" s="371">
        <v>2</v>
      </c>
      <c r="Y124" s="381">
        <v>1000</v>
      </c>
    </row>
    <row r="125" spans="1:26" x14ac:dyDescent="0.2">
      <c r="A125" s="378" t="s">
        <v>34</v>
      </c>
      <c r="B125" s="471">
        <v>0</v>
      </c>
      <c r="C125" s="471">
        <v>5.1449999999999996</v>
      </c>
      <c r="D125" s="471">
        <v>67.975999999999999</v>
      </c>
      <c r="E125" s="471">
        <v>53.807000000000002</v>
      </c>
      <c r="F125" s="471">
        <v>52.88</v>
      </c>
      <c r="G125" s="471">
        <v>55.915999999999997</v>
      </c>
      <c r="H125" s="471">
        <v>57.94</v>
      </c>
      <c r="I125" s="471">
        <v>59.710999999999999</v>
      </c>
      <c r="J125" s="471">
        <v>61.145000000000003</v>
      </c>
      <c r="K125" s="471">
        <v>58.951999999999998</v>
      </c>
      <c r="L125" s="471">
        <v>55.578000000000003</v>
      </c>
      <c r="M125" s="471">
        <v>52.204999999999998</v>
      </c>
      <c r="N125" s="471">
        <v>46.386000000000003</v>
      </c>
      <c r="O125" s="471">
        <v>38.119999999999997</v>
      </c>
      <c r="P125" s="471">
        <v>20.324999999999999</v>
      </c>
      <c r="Q125" s="471">
        <v>3.5419999999999998</v>
      </c>
      <c r="R125" s="471">
        <v>1.6020000000000001</v>
      </c>
      <c r="S125" s="471">
        <v>0</v>
      </c>
      <c r="T125" s="373">
        <f>S125</f>
        <v>0</v>
      </c>
      <c r="U125" s="373">
        <f>T125</f>
        <v>0</v>
      </c>
      <c r="V125" s="373">
        <f>U125</f>
        <v>0</v>
      </c>
      <c r="W125" s="373">
        <f>V125</f>
        <v>0</v>
      </c>
      <c r="X125" s="373">
        <f>W125</f>
        <v>0</v>
      </c>
      <c r="Y125" s="382">
        <v>0</v>
      </c>
    </row>
    <row r="126" spans="1:26" ht="13.5" thickBot="1" x14ac:dyDescent="0.25">
      <c r="A126" s="379" t="s">
        <v>119</v>
      </c>
      <c r="B126" s="374">
        <f t="shared" ref="B126:X126" si="28">(C125+B125)*(C124-B124)/2</f>
        <v>2.5724999999999997E-3</v>
      </c>
      <c r="C126" s="375">
        <f t="shared" si="28"/>
        <v>0.95057299999999989</v>
      </c>
      <c r="D126" s="375">
        <f t="shared" si="28"/>
        <v>1.4613959999999999</v>
      </c>
      <c r="E126" s="375">
        <f t="shared" si="28"/>
        <v>0.48009150000000012</v>
      </c>
      <c r="F126" s="375">
        <f t="shared" si="28"/>
        <v>1.7407359999999998</v>
      </c>
      <c r="G126" s="375">
        <f t="shared" si="28"/>
        <v>1.5370559999999998</v>
      </c>
      <c r="H126" s="375">
        <f t="shared" si="28"/>
        <v>3.0001005000000007</v>
      </c>
      <c r="I126" s="375">
        <f t="shared" si="28"/>
        <v>7.8556399999999984</v>
      </c>
      <c r="J126" s="375">
        <f t="shared" si="28"/>
        <v>9.727857000000002</v>
      </c>
      <c r="K126" s="375">
        <f t="shared" si="28"/>
        <v>6.1273549999999961</v>
      </c>
      <c r="L126" s="375">
        <f t="shared" si="28"/>
        <v>5.7124990000000055</v>
      </c>
      <c r="M126" s="375">
        <f t="shared" si="28"/>
        <v>5.0774364999999992</v>
      </c>
      <c r="N126" s="375">
        <f t="shared" si="28"/>
        <v>2.8732039999999976</v>
      </c>
      <c r="O126" s="375">
        <f t="shared" si="28"/>
        <v>2.0747975000000016</v>
      </c>
      <c r="P126" s="375">
        <f t="shared" si="28"/>
        <v>1.0978819999999982</v>
      </c>
      <c r="Q126" s="375">
        <f t="shared" si="28"/>
        <v>5.915600000000034E-2</v>
      </c>
      <c r="R126" s="375">
        <f t="shared" si="28"/>
        <v>1.0412999999999921E-2</v>
      </c>
      <c r="S126" s="375">
        <f t="shared" si="28"/>
        <v>0</v>
      </c>
      <c r="T126" s="375">
        <f t="shared" si="28"/>
        <v>0</v>
      </c>
      <c r="U126" s="375">
        <f t="shared" si="28"/>
        <v>0</v>
      </c>
      <c r="V126" s="375">
        <f t="shared" si="28"/>
        <v>0</v>
      </c>
      <c r="W126" s="375">
        <f t="shared" si="28"/>
        <v>0</v>
      </c>
      <c r="X126" s="375">
        <f t="shared" si="28"/>
        <v>0</v>
      </c>
      <c r="Y126" s="369"/>
    </row>
    <row r="127" spans="1:26" ht="13.5" thickBot="1" x14ac:dyDescent="0.25"/>
    <row r="128" spans="1:26" ht="13.5" thickBot="1" x14ac:dyDescent="0.25">
      <c r="A128" s="361" t="s">
        <v>397</v>
      </c>
      <c r="B128" s="359">
        <f>ROW(A128)</f>
        <v>128</v>
      </c>
      <c r="C128" s="363" t="s">
        <v>118</v>
      </c>
      <c r="D128" s="353">
        <f>SUM(B131:Y131)</f>
        <v>52.815674000000008</v>
      </c>
      <c r="E128" s="363" t="s">
        <v>117</v>
      </c>
      <c r="F128" s="354">
        <v>239</v>
      </c>
      <c r="G128" s="363" t="s">
        <v>59</v>
      </c>
      <c r="H128" s="64">
        <v>7.2999999999999995E-2</v>
      </c>
      <c r="I128" s="363" t="s">
        <v>276</v>
      </c>
      <c r="J128" s="355">
        <f>H128-L128</f>
        <v>2.8999999999999998E-2</v>
      </c>
      <c r="K128" s="363" t="s">
        <v>277</v>
      </c>
      <c r="L128" s="64">
        <v>4.3999999999999997E-2</v>
      </c>
      <c r="M128" s="363" t="s">
        <v>60</v>
      </c>
      <c r="N128" s="396">
        <v>50</v>
      </c>
      <c r="O128" s="363" t="s">
        <v>62</v>
      </c>
      <c r="P128" s="396">
        <v>50</v>
      </c>
      <c r="Q128" s="363" t="s">
        <v>63</v>
      </c>
      <c r="R128" s="65">
        <v>101</v>
      </c>
      <c r="S128" s="363" t="s">
        <v>64</v>
      </c>
      <c r="T128" s="65">
        <v>24</v>
      </c>
      <c r="U128" s="363" t="s">
        <v>57</v>
      </c>
      <c r="V128" s="66" t="s">
        <v>122</v>
      </c>
      <c r="W128" s="463" t="s">
        <v>400</v>
      </c>
      <c r="X128" s="465">
        <v>0.77</v>
      </c>
      <c r="Y128" s="463" t="s">
        <v>399</v>
      </c>
      <c r="Z128" s="358">
        <v>14</v>
      </c>
    </row>
    <row r="129" spans="1:26" x14ac:dyDescent="0.2">
      <c r="A129" s="362" t="s">
        <v>33</v>
      </c>
      <c r="B129" s="471">
        <v>0</v>
      </c>
      <c r="C129" s="471">
        <v>1E-3</v>
      </c>
      <c r="D129" s="471">
        <v>1.2999999999999999E-2</v>
      </c>
      <c r="E129" s="471">
        <v>2.3E-2</v>
      </c>
      <c r="F129" s="471">
        <v>5.1999999999999998E-2</v>
      </c>
      <c r="G129" s="471">
        <v>0.1</v>
      </c>
      <c r="H129" s="471">
        <v>0.379</v>
      </c>
      <c r="I129" s="471">
        <v>0.64100000000000001</v>
      </c>
      <c r="J129" s="471">
        <v>0.66500000000000004</v>
      </c>
      <c r="K129" s="471">
        <v>0.70599999999999996</v>
      </c>
      <c r="L129" s="471">
        <v>0.74399999999999999</v>
      </c>
      <c r="M129" s="471">
        <v>0.78700000000000003</v>
      </c>
      <c r="N129" s="471">
        <v>0.81599999999999995</v>
      </c>
      <c r="O129" s="371">
        <v>1</v>
      </c>
      <c r="P129" s="371">
        <v>1</v>
      </c>
      <c r="Q129" s="371">
        <v>1</v>
      </c>
      <c r="R129" s="371">
        <v>1</v>
      </c>
      <c r="S129" s="371">
        <v>1</v>
      </c>
      <c r="T129" s="371">
        <v>1</v>
      </c>
      <c r="U129" s="371">
        <v>1</v>
      </c>
      <c r="V129" s="371">
        <v>1</v>
      </c>
      <c r="W129" s="371">
        <v>2</v>
      </c>
      <c r="X129" s="371">
        <v>2</v>
      </c>
      <c r="Y129" s="381">
        <v>1000</v>
      </c>
    </row>
    <row r="130" spans="1:26" x14ac:dyDescent="0.2">
      <c r="A130" s="378" t="s">
        <v>34</v>
      </c>
      <c r="B130" s="471">
        <v>0</v>
      </c>
      <c r="C130" s="471">
        <v>8.3030000000000008</v>
      </c>
      <c r="D130" s="471">
        <v>85.68</v>
      </c>
      <c r="E130" s="471">
        <v>96.149000000000001</v>
      </c>
      <c r="F130" s="471">
        <v>78.820999999999998</v>
      </c>
      <c r="G130" s="471">
        <v>83.634</v>
      </c>
      <c r="H130" s="471">
        <v>77.858000000000004</v>
      </c>
      <c r="I130" s="471">
        <v>62.575000000000003</v>
      </c>
      <c r="J130" s="471">
        <v>55.716000000000001</v>
      </c>
      <c r="K130" s="471">
        <v>23.946999999999999</v>
      </c>
      <c r="L130" s="471">
        <v>9.1460000000000008</v>
      </c>
      <c r="M130" s="471">
        <v>2.7679999999999998</v>
      </c>
      <c r="N130" s="471">
        <v>0</v>
      </c>
      <c r="O130" s="373">
        <v>0</v>
      </c>
      <c r="P130" s="373">
        <v>0</v>
      </c>
      <c r="Q130" s="373">
        <v>0</v>
      </c>
      <c r="R130" s="373">
        <v>0</v>
      </c>
      <c r="S130" s="373">
        <v>0</v>
      </c>
      <c r="T130" s="373">
        <v>0</v>
      </c>
      <c r="U130" s="373">
        <v>0</v>
      </c>
      <c r="V130" s="373">
        <f>U130</f>
        <v>0</v>
      </c>
      <c r="W130" s="373">
        <f>V130</f>
        <v>0</v>
      </c>
      <c r="X130" s="373">
        <f>W130</f>
        <v>0</v>
      </c>
      <c r="Y130" s="382">
        <v>0</v>
      </c>
    </row>
    <row r="131" spans="1:26" ht="13.5" thickBot="1" x14ac:dyDescent="0.25">
      <c r="A131" s="379" t="s">
        <v>119</v>
      </c>
      <c r="B131" s="374">
        <f t="shared" ref="B131:X131" si="29">(C130+B130)*(C129-B129)/2</f>
        <v>4.1515000000000007E-3</v>
      </c>
      <c r="C131" s="375">
        <f t="shared" si="29"/>
        <v>0.56389800000000001</v>
      </c>
      <c r="D131" s="375">
        <f t="shared" si="29"/>
        <v>0.90914500000000009</v>
      </c>
      <c r="E131" s="375">
        <f t="shared" si="29"/>
        <v>2.5370649999999997</v>
      </c>
      <c r="F131" s="375">
        <f t="shared" si="29"/>
        <v>3.8989200000000004</v>
      </c>
      <c r="G131" s="375">
        <f t="shared" si="29"/>
        <v>22.528134000000005</v>
      </c>
      <c r="H131" s="375">
        <f t="shared" si="29"/>
        <v>18.396723000000001</v>
      </c>
      <c r="I131" s="375">
        <f t="shared" si="29"/>
        <v>1.4194920000000013</v>
      </c>
      <c r="J131" s="375">
        <f t="shared" si="29"/>
        <v>1.633091499999997</v>
      </c>
      <c r="K131" s="375">
        <f t="shared" si="29"/>
        <v>0.62876700000000063</v>
      </c>
      <c r="L131" s="375">
        <f t="shared" si="29"/>
        <v>0.25615100000000024</v>
      </c>
      <c r="M131" s="375">
        <f t="shared" si="29"/>
        <v>4.013599999999988E-2</v>
      </c>
      <c r="N131" s="375">
        <f t="shared" si="29"/>
        <v>0</v>
      </c>
      <c r="O131" s="375">
        <f t="shared" si="29"/>
        <v>0</v>
      </c>
      <c r="P131" s="375">
        <f t="shared" si="29"/>
        <v>0</v>
      </c>
      <c r="Q131" s="375">
        <f t="shared" si="29"/>
        <v>0</v>
      </c>
      <c r="R131" s="375">
        <f t="shared" si="29"/>
        <v>0</v>
      </c>
      <c r="S131" s="375">
        <f t="shared" si="29"/>
        <v>0</v>
      </c>
      <c r="T131" s="375">
        <f t="shared" si="29"/>
        <v>0</v>
      </c>
      <c r="U131" s="375">
        <f t="shared" si="29"/>
        <v>0</v>
      </c>
      <c r="V131" s="375">
        <f t="shared" si="29"/>
        <v>0</v>
      </c>
      <c r="W131" s="375">
        <f t="shared" si="29"/>
        <v>0</v>
      </c>
      <c r="X131" s="375">
        <f t="shared" si="29"/>
        <v>0</v>
      </c>
      <c r="Y131" s="369"/>
    </row>
    <row r="132" spans="1:26" ht="13.5" thickBot="1" x14ac:dyDescent="0.25">
      <c r="A132" s="6" t="s">
        <v>319</v>
      </c>
    </row>
    <row r="133" spans="1:26" ht="13.5" thickBot="1" x14ac:dyDescent="0.25">
      <c r="A133" s="361" t="s">
        <v>387</v>
      </c>
      <c r="B133" s="359">
        <f>ROW(A133)</f>
        <v>133</v>
      </c>
      <c r="C133" s="363" t="s">
        <v>118</v>
      </c>
      <c r="D133" s="353">
        <f>SUM(B136:Y136)</f>
        <v>41.835000000000015</v>
      </c>
      <c r="E133" s="363" t="s">
        <v>117</v>
      </c>
      <c r="F133" s="354">
        <f>D133/g/J133</f>
        <v>121.84359982525126</v>
      </c>
      <c r="G133" s="363" t="s">
        <v>59</v>
      </c>
      <c r="H133" s="64">
        <v>0.104</v>
      </c>
      <c r="I133" s="363" t="s">
        <v>276</v>
      </c>
      <c r="J133" s="355">
        <f>H133-L133</f>
        <v>3.4999999999999989E-2</v>
      </c>
      <c r="K133" s="363" t="s">
        <v>277</v>
      </c>
      <c r="L133" s="64">
        <v>6.9000000000000006E-2</v>
      </c>
      <c r="M133" s="363" t="s">
        <v>60</v>
      </c>
      <c r="N133" s="65">
        <v>49</v>
      </c>
      <c r="O133" s="363" t="s">
        <v>62</v>
      </c>
      <c r="P133" s="65">
        <v>49</v>
      </c>
      <c r="Q133" s="363" t="s">
        <v>63</v>
      </c>
      <c r="R133" s="65">
        <v>98</v>
      </c>
      <c r="S133" s="363" t="s">
        <v>64</v>
      </c>
      <c r="T133" s="65">
        <v>29</v>
      </c>
      <c r="U133" s="363" t="s">
        <v>57</v>
      </c>
      <c r="V133" s="66" t="s">
        <v>405</v>
      </c>
      <c r="W133" s="463" t="s">
        <v>400</v>
      </c>
      <c r="X133" s="465">
        <v>1.07</v>
      </c>
      <c r="Y133" s="463" t="s">
        <v>399</v>
      </c>
      <c r="Z133" s="358">
        <v>11</v>
      </c>
    </row>
    <row r="134" spans="1:26" x14ac:dyDescent="0.2">
      <c r="A134" s="362" t="s">
        <v>33</v>
      </c>
      <c r="B134" s="370">
        <v>0</v>
      </c>
      <c r="C134" s="371">
        <v>0.01</v>
      </c>
      <c r="D134" s="371">
        <v>0.02</v>
      </c>
      <c r="E134" s="371">
        <v>0.03</v>
      </c>
      <c r="F134" s="371">
        <v>0.04</v>
      </c>
      <c r="G134" s="371">
        <v>0.06</v>
      </c>
      <c r="H134" s="371">
        <v>7.0000000000000007E-2</v>
      </c>
      <c r="I134" s="371">
        <v>0.08</v>
      </c>
      <c r="J134" s="371">
        <v>0.1</v>
      </c>
      <c r="K134" s="371">
        <v>0.2</v>
      </c>
      <c r="L134" s="371">
        <v>0.3</v>
      </c>
      <c r="M134" s="371">
        <v>0.4</v>
      </c>
      <c r="N134" s="371">
        <v>0.5</v>
      </c>
      <c r="O134" s="371">
        <v>0.6</v>
      </c>
      <c r="P134" s="371">
        <v>0.7</v>
      </c>
      <c r="Q134" s="371">
        <v>0.8</v>
      </c>
      <c r="R134" s="371">
        <v>0.85</v>
      </c>
      <c r="S134" s="371">
        <v>0.92</v>
      </c>
      <c r="T134" s="371">
        <v>0.95</v>
      </c>
      <c r="U134" s="371">
        <v>0.99</v>
      </c>
      <c r="V134" s="371">
        <v>1.05</v>
      </c>
      <c r="W134" s="371">
        <v>1.05</v>
      </c>
      <c r="X134" s="371">
        <v>2</v>
      </c>
      <c r="Y134" s="381">
        <v>1000</v>
      </c>
    </row>
    <row r="135" spans="1:26" x14ac:dyDescent="0.2">
      <c r="A135" s="378" t="s">
        <v>34</v>
      </c>
      <c r="B135" s="372">
        <v>0</v>
      </c>
      <c r="C135" s="373">
        <v>12</v>
      </c>
      <c r="D135" s="373">
        <v>46</v>
      </c>
      <c r="E135" s="373">
        <v>75</v>
      </c>
      <c r="F135" s="373">
        <v>79</v>
      </c>
      <c r="G135" s="373">
        <v>77</v>
      </c>
      <c r="H135" s="373">
        <v>62</v>
      </c>
      <c r="I135" s="373">
        <v>32</v>
      </c>
      <c r="J135" s="373">
        <v>35</v>
      </c>
      <c r="K135" s="373">
        <v>38</v>
      </c>
      <c r="L135" s="373">
        <v>39</v>
      </c>
      <c r="M135" s="373">
        <v>41</v>
      </c>
      <c r="N135" s="373">
        <v>43</v>
      </c>
      <c r="O135" s="373">
        <v>43</v>
      </c>
      <c r="P135" s="373">
        <v>43</v>
      </c>
      <c r="Q135" s="373">
        <v>43</v>
      </c>
      <c r="R135" s="373">
        <v>47</v>
      </c>
      <c r="S135" s="373">
        <v>54</v>
      </c>
      <c r="T135" s="373">
        <v>32</v>
      </c>
      <c r="U135" s="373">
        <v>8</v>
      </c>
      <c r="V135" s="373">
        <v>0</v>
      </c>
      <c r="W135" s="373">
        <v>0</v>
      </c>
      <c r="X135" s="373">
        <v>0</v>
      </c>
      <c r="Y135" s="382">
        <v>0</v>
      </c>
    </row>
    <row r="136" spans="1:26" ht="13.5" thickBot="1" x14ac:dyDescent="0.25">
      <c r="A136" s="379" t="s">
        <v>119</v>
      </c>
      <c r="B136" s="374">
        <f t="shared" ref="B136:X136" si="30">(C135+B135)*(C134-B134)/2</f>
        <v>0.06</v>
      </c>
      <c r="C136" s="375">
        <f t="shared" si="30"/>
        <v>0.28999999999999998</v>
      </c>
      <c r="D136" s="375">
        <f t="shared" si="30"/>
        <v>0.60499999999999987</v>
      </c>
      <c r="E136" s="375">
        <f t="shared" si="30"/>
        <v>0.77000000000000013</v>
      </c>
      <c r="F136" s="375">
        <f t="shared" si="30"/>
        <v>1.5599999999999998</v>
      </c>
      <c r="G136" s="375">
        <f t="shared" si="30"/>
        <v>0.69500000000000062</v>
      </c>
      <c r="H136" s="375">
        <f t="shared" si="30"/>
        <v>0.46999999999999975</v>
      </c>
      <c r="I136" s="375">
        <f t="shared" si="30"/>
        <v>0.67000000000000015</v>
      </c>
      <c r="J136" s="375">
        <f t="shared" si="30"/>
        <v>3.6500000000000004</v>
      </c>
      <c r="K136" s="375">
        <f t="shared" si="30"/>
        <v>3.8499999999999992</v>
      </c>
      <c r="L136" s="375">
        <f t="shared" si="30"/>
        <v>4.0000000000000018</v>
      </c>
      <c r="M136" s="375">
        <f t="shared" si="30"/>
        <v>4.1999999999999993</v>
      </c>
      <c r="N136" s="375">
        <f t="shared" si="30"/>
        <v>4.2999999999999989</v>
      </c>
      <c r="O136" s="375">
        <f t="shared" si="30"/>
        <v>4.2999999999999989</v>
      </c>
      <c r="P136" s="375">
        <f t="shared" si="30"/>
        <v>4.3000000000000043</v>
      </c>
      <c r="Q136" s="375">
        <f t="shared" si="30"/>
        <v>2.2499999999999969</v>
      </c>
      <c r="R136" s="375">
        <f t="shared" si="30"/>
        <v>3.5350000000000033</v>
      </c>
      <c r="S136" s="375">
        <f t="shared" si="30"/>
        <v>1.2899999999999965</v>
      </c>
      <c r="T136" s="375">
        <f t="shared" si="30"/>
        <v>0.80000000000000071</v>
      </c>
      <c r="U136" s="375">
        <f t="shared" si="30"/>
        <v>0.24000000000000021</v>
      </c>
      <c r="V136" s="375">
        <f t="shared" si="30"/>
        <v>0</v>
      </c>
      <c r="W136" s="375">
        <f t="shared" si="30"/>
        <v>0</v>
      </c>
      <c r="X136" s="375">
        <f t="shared" si="30"/>
        <v>0</v>
      </c>
      <c r="Y136" s="369"/>
    </row>
    <row r="137" spans="1:26" ht="13.5" thickBo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6" ht="13.5" thickBot="1" x14ac:dyDescent="0.25">
      <c r="A138" s="361" t="s">
        <v>388</v>
      </c>
      <c r="B138" s="359">
        <f>ROW(A138)</f>
        <v>138</v>
      </c>
      <c r="C138" s="363" t="s">
        <v>118</v>
      </c>
      <c r="D138" s="353">
        <f>SUM(B141:Y141)</f>
        <v>52.564999999999998</v>
      </c>
      <c r="E138" s="363" t="s">
        <v>117</v>
      </c>
      <c r="F138" s="354">
        <f>D138/g/J138</f>
        <v>167.44712028542301</v>
      </c>
      <c r="G138" s="363" t="s">
        <v>59</v>
      </c>
      <c r="H138" s="64">
        <v>0.10100000000000001</v>
      </c>
      <c r="I138" s="363" t="s">
        <v>276</v>
      </c>
      <c r="J138" s="355">
        <f>H138-L138</f>
        <v>3.2000000000000001E-2</v>
      </c>
      <c r="K138" s="363" t="s">
        <v>277</v>
      </c>
      <c r="L138" s="64">
        <v>6.9000000000000006E-2</v>
      </c>
      <c r="M138" s="363" t="s">
        <v>60</v>
      </c>
      <c r="N138" s="65">
        <v>49</v>
      </c>
      <c r="O138" s="363" t="s">
        <v>62</v>
      </c>
      <c r="P138" s="65">
        <v>49</v>
      </c>
      <c r="Q138" s="363" t="s">
        <v>63</v>
      </c>
      <c r="R138" s="65">
        <v>98</v>
      </c>
      <c r="S138" s="363" t="s">
        <v>64</v>
      </c>
      <c r="T138" s="65">
        <v>29</v>
      </c>
      <c r="U138" s="363" t="s">
        <v>57</v>
      </c>
      <c r="V138" s="66" t="s">
        <v>405</v>
      </c>
      <c r="W138" s="463" t="s">
        <v>400</v>
      </c>
      <c r="X138" s="465">
        <v>1.8</v>
      </c>
      <c r="Y138" s="463" t="s">
        <v>399</v>
      </c>
      <c r="Z138" s="358">
        <v>12</v>
      </c>
    </row>
    <row r="139" spans="1:26" x14ac:dyDescent="0.2">
      <c r="A139" s="362" t="s">
        <v>33</v>
      </c>
      <c r="B139" s="370">
        <v>0</v>
      </c>
      <c r="C139" s="371">
        <v>0.01</v>
      </c>
      <c r="D139" s="371">
        <v>0.03</v>
      </c>
      <c r="E139" s="371">
        <v>0.04</v>
      </c>
      <c r="F139" s="371">
        <v>0.05</v>
      </c>
      <c r="G139" s="371">
        <v>0.06</v>
      </c>
      <c r="H139" s="371">
        <v>7.0000000000000007E-2</v>
      </c>
      <c r="I139" s="371">
        <v>0.08</v>
      </c>
      <c r="J139" s="371">
        <v>0.09</v>
      </c>
      <c r="K139" s="371">
        <v>0.1</v>
      </c>
      <c r="L139" s="371">
        <v>0.2</v>
      </c>
      <c r="M139" s="371">
        <v>0.3</v>
      </c>
      <c r="N139" s="371">
        <v>0.4</v>
      </c>
      <c r="O139" s="371">
        <v>0.5</v>
      </c>
      <c r="P139" s="371">
        <v>0.7</v>
      </c>
      <c r="Q139" s="371">
        <v>0.8</v>
      </c>
      <c r="R139" s="371">
        <v>0.9</v>
      </c>
      <c r="S139" s="371">
        <v>1</v>
      </c>
      <c r="T139" s="371">
        <v>1.1000000000000001</v>
      </c>
      <c r="U139" s="371">
        <v>1.24</v>
      </c>
      <c r="V139" s="371">
        <v>1.3</v>
      </c>
      <c r="W139" s="371">
        <v>1.5</v>
      </c>
      <c r="X139" s="371">
        <v>2</v>
      </c>
      <c r="Y139" s="381">
        <v>1000</v>
      </c>
    </row>
    <row r="140" spans="1:26" x14ac:dyDescent="0.2">
      <c r="A140" s="378" t="s">
        <v>34</v>
      </c>
      <c r="B140" s="372">
        <v>0</v>
      </c>
      <c r="C140" s="373">
        <v>12</v>
      </c>
      <c r="D140" s="373">
        <v>41</v>
      </c>
      <c r="E140" s="373">
        <v>42</v>
      </c>
      <c r="F140" s="373">
        <v>42</v>
      </c>
      <c r="G140" s="373">
        <v>40</v>
      </c>
      <c r="H140" s="373">
        <v>34</v>
      </c>
      <c r="I140" s="373">
        <v>34</v>
      </c>
      <c r="J140" s="373">
        <v>35</v>
      </c>
      <c r="K140" s="373">
        <v>36</v>
      </c>
      <c r="L140" s="373">
        <v>40</v>
      </c>
      <c r="M140" s="373">
        <v>42</v>
      </c>
      <c r="N140" s="373">
        <v>43</v>
      </c>
      <c r="O140" s="373">
        <v>43</v>
      </c>
      <c r="P140" s="373">
        <v>43</v>
      </c>
      <c r="Q140" s="373">
        <v>42</v>
      </c>
      <c r="R140" s="373">
        <v>41</v>
      </c>
      <c r="S140" s="373">
        <v>40</v>
      </c>
      <c r="T140" s="373">
        <v>38</v>
      </c>
      <c r="U140" s="373">
        <v>37</v>
      </c>
      <c r="V140" s="373">
        <v>12</v>
      </c>
      <c r="W140" s="373">
        <v>0</v>
      </c>
      <c r="X140" s="373">
        <v>0</v>
      </c>
      <c r="Y140" s="382">
        <v>0</v>
      </c>
    </row>
    <row r="141" spans="1:26" ht="13.5" thickBot="1" x14ac:dyDescent="0.25">
      <c r="A141" s="379" t="s">
        <v>119</v>
      </c>
      <c r="B141" s="374">
        <f t="shared" ref="B141:X141" si="31">(C140+B140)*(C139-B139)/2</f>
        <v>0.06</v>
      </c>
      <c r="C141" s="375">
        <f t="shared" si="31"/>
        <v>0.52999999999999992</v>
      </c>
      <c r="D141" s="375">
        <f t="shared" si="31"/>
        <v>0.41500000000000009</v>
      </c>
      <c r="E141" s="375">
        <f t="shared" si="31"/>
        <v>0.4200000000000001</v>
      </c>
      <c r="F141" s="375">
        <f t="shared" si="31"/>
        <v>0.40999999999999981</v>
      </c>
      <c r="G141" s="375">
        <f t="shared" si="31"/>
        <v>0.37000000000000033</v>
      </c>
      <c r="H141" s="375">
        <f t="shared" si="31"/>
        <v>0.33999999999999986</v>
      </c>
      <c r="I141" s="375">
        <f t="shared" si="31"/>
        <v>0.34499999999999981</v>
      </c>
      <c r="J141" s="375">
        <f t="shared" si="31"/>
        <v>0.35500000000000032</v>
      </c>
      <c r="K141" s="375">
        <f t="shared" si="31"/>
        <v>3.8000000000000003</v>
      </c>
      <c r="L141" s="375">
        <f t="shared" si="31"/>
        <v>4.0999999999999988</v>
      </c>
      <c r="M141" s="375">
        <f t="shared" si="31"/>
        <v>4.2500000000000018</v>
      </c>
      <c r="N141" s="375">
        <f t="shared" si="31"/>
        <v>4.2999999999999989</v>
      </c>
      <c r="O141" s="375">
        <f t="shared" si="31"/>
        <v>8.5999999999999979</v>
      </c>
      <c r="P141" s="375">
        <f t="shared" si="31"/>
        <v>4.2500000000000036</v>
      </c>
      <c r="Q141" s="375">
        <f t="shared" si="31"/>
        <v>4.1499999999999995</v>
      </c>
      <c r="R141" s="375">
        <f t="shared" si="31"/>
        <v>4.0499999999999989</v>
      </c>
      <c r="S141" s="375">
        <f t="shared" si="31"/>
        <v>3.9000000000000035</v>
      </c>
      <c r="T141" s="375">
        <f t="shared" si="31"/>
        <v>5.2499999999999964</v>
      </c>
      <c r="U141" s="375">
        <f t="shared" si="31"/>
        <v>1.4700000000000013</v>
      </c>
      <c r="V141" s="375">
        <f t="shared" si="31"/>
        <v>1.1999999999999997</v>
      </c>
      <c r="W141" s="375">
        <f t="shared" si="31"/>
        <v>0</v>
      </c>
      <c r="X141" s="375">
        <f t="shared" si="31"/>
        <v>0</v>
      </c>
      <c r="Y141" s="369"/>
    </row>
    <row r="142" spans="1:26" ht="13.5" thickBo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6" ht="13.5" thickBot="1" x14ac:dyDescent="0.25">
      <c r="A143" s="361" t="s">
        <v>389</v>
      </c>
      <c r="B143" s="359">
        <f>ROW(A143)</f>
        <v>143</v>
      </c>
      <c r="C143" s="363" t="s">
        <v>118</v>
      </c>
      <c r="D143" s="353">
        <f>SUM(B146:Y146)</f>
        <v>54.110016122119539</v>
      </c>
      <c r="E143" s="363" t="s">
        <v>117</v>
      </c>
      <c r="F143" s="354">
        <f>D143/g/J143</f>
        <v>146.69685764124625</v>
      </c>
      <c r="G143" s="363" t="s">
        <v>59</v>
      </c>
      <c r="H143" s="64">
        <v>0.10580000000000001</v>
      </c>
      <c r="I143" s="363" t="s">
        <v>276</v>
      </c>
      <c r="J143" s="355">
        <f>H143-L143</f>
        <v>3.7600000000000008E-2</v>
      </c>
      <c r="K143" s="363" t="s">
        <v>277</v>
      </c>
      <c r="L143" s="64">
        <v>6.8199999999999997E-2</v>
      </c>
      <c r="M143" s="363" t="s">
        <v>60</v>
      </c>
      <c r="N143" s="65">
        <v>49</v>
      </c>
      <c r="O143" s="363" t="s">
        <v>62</v>
      </c>
      <c r="P143" s="65">
        <v>49</v>
      </c>
      <c r="Q143" s="363" t="s">
        <v>63</v>
      </c>
      <c r="R143" s="65">
        <v>98</v>
      </c>
      <c r="S143" s="363" t="s">
        <v>64</v>
      </c>
      <c r="T143" s="65">
        <v>29</v>
      </c>
      <c r="U143" s="363" t="s">
        <v>57</v>
      </c>
      <c r="V143" s="66" t="s">
        <v>405</v>
      </c>
      <c r="W143" s="463" t="s">
        <v>400</v>
      </c>
      <c r="X143" s="465">
        <v>1.9</v>
      </c>
      <c r="Y143" s="463" t="s">
        <v>399</v>
      </c>
      <c r="Z143" s="358">
        <v>12</v>
      </c>
    </row>
    <row r="144" spans="1:26" x14ac:dyDescent="0.2">
      <c r="A144" s="362" t="s">
        <v>33</v>
      </c>
      <c r="B144" s="370">
        <v>0</v>
      </c>
      <c r="C144" s="371">
        <v>2.5000000000000001E-2</v>
      </c>
      <c r="D144" s="371">
        <v>0.05</v>
      </c>
      <c r="E144" s="371">
        <v>7.4999999999999997E-2</v>
      </c>
      <c r="F144" s="371">
        <v>0.1</v>
      </c>
      <c r="G144" s="371">
        <v>0.15</v>
      </c>
      <c r="H144" s="371">
        <v>0.17499999999999999</v>
      </c>
      <c r="I144" s="371">
        <v>0.2</v>
      </c>
      <c r="J144" s="371">
        <v>0.3</v>
      </c>
      <c r="K144" s="371">
        <v>0.4</v>
      </c>
      <c r="L144" s="371">
        <v>0.5</v>
      </c>
      <c r="M144" s="371">
        <v>0.6</v>
      </c>
      <c r="N144" s="371">
        <v>0.7</v>
      </c>
      <c r="O144" s="371">
        <v>0.8</v>
      </c>
      <c r="P144" s="371">
        <v>0.9</v>
      </c>
      <c r="Q144" s="371">
        <v>1.1000000000000001</v>
      </c>
      <c r="R144" s="371">
        <v>1.2</v>
      </c>
      <c r="S144" s="371">
        <v>1.6</v>
      </c>
      <c r="T144" s="371">
        <v>1.7</v>
      </c>
      <c r="U144" s="371">
        <v>1.8</v>
      </c>
      <c r="V144" s="371">
        <v>1.9</v>
      </c>
      <c r="W144" s="371">
        <v>1.9999</v>
      </c>
      <c r="X144" s="371">
        <v>2</v>
      </c>
      <c r="Y144" s="381">
        <v>1000</v>
      </c>
    </row>
    <row r="145" spans="1:26" x14ac:dyDescent="0.2">
      <c r="A145" s="378" t="s">
        <v>34</v>
      </c>
      <c r="B145" s="372">
        <v>0</v>
      </c>
      <c r="C145" s="376">
        <v>15.2574001848975</v>
      </c>
      <c r="D145" s="376">
        <v>26.377954255522496</v>
      </c>
      <c r="E145" s="376">
        <v>21.484910464447498</v>
      </c>
      <c r="F145" s="376">
        <v>24.020396792549999</v>
      </c>
      <c r="G145" s="376">
        <v>28.11276069054</v>
      </c>
      <c r="H145" s="376">
        <v>28.691029502212498</v>
      </c>
      <c r="I145" s="376">
        <v>29.180333881319996</v>
      </c>
      <c r="J145" s="376">
        <v>31.493409128009997</v>
      </c>
      <c r="K145" s="376">
        <v>32.560982318789996</v>
      </c>
      <c r="L145" s="376">
        <v>32.827875616484995</v>
      </c>
      <c r="M145" s="376">
        <v>32.649946751354996</v>
      </c>
      <c r="N145" s="376">
        <v>32.383053453659997</v>
      </c>
      <c r="O145" s="376">
        <v>32.249606804812501</v>
      </c>
      <c r="P145" s="376">
        <v>31.804784641987499</v>
      </c>
      <c r="Q145" s="376">
        <v>30.559282586077497</v>
      </c>
      <c r="R145" s="376">
        <v>30.069978206969999</v>
      </c>
      <c r="S145" s="376">
        <v>26.377954255522496</v>
      </c>
      <c r="T145" s="376">
        <v>24.865558901917499</v>
      </c>
      <c r="U145" s="376">
        <v>18.4601197572375</v>
      </c>
      <c r="V145" s="376">
        <v>7.5174945517424998</v>
      </c>
      <c r="W145" s="376">
        <v>1.3789487047575</v>
      </c>
      <c r="X145" s="373">
        <v>0</v>
      </c>
      <c r="Y145" s="382">
        <v>0</v>
      </c>
    </row>
    <row r="146" spans="1:26" ht="13.5" thickBot="1" x14ac:dyDescent="0.25">
      <c r="A146" s="379" t="s">
        <v>119</v>
      </c>
      <c r="B146" s="374">
        <f t="shared" ref="B146:V146" si="32">(C145+B145)*(C144-B144)/2</f>
        <v>0.19071750231121876</v>
      </c>
      <c r="C146" s="375">
        <f t="shared" si="32"/>
        <v>0.52044193050525001</v>
      </c>
      <c r="D146" s="375">
        <f t="shared" si="32"/>
        <v>0.5982858089996248</v>
      </c>
      <c r="E146" s="375">
        <f t="shared" si="32"/>
        <v>0.56881634071246889</v>
      </c>
      <c r="F146" s="375">
        <f t="shared" si="32"/>
        <v>1.3033289370772498</v>
      </c>
      <c r="G146" s="375">
        <f t="shared" si="32"/>
        <v>0.71004737740940616</v>
      </c>
      <c r="H146" s="375">
        <f t="shared" si="32"/>
        <v>0.72339204229415688</v>
      </c>
      <c r="I146" s="375">
        <f t="shared" si="32"/>
        <v>3.0336871504664993</v>
      </c>
      <c r="J146" s="375">
        <f>(K145+J145)*(K144-J144)/2</f>
        <v>3.2027195723400008</v>
      </c>
      <c r="K146" s="375">
        <f t="shared" si="32"/>
        <v>3.2694428967637483</v>
      </c>
      <c r="L146" s="375">
        <f t="shared" si="32"/>
        <v>3.2738911183919988</v>
      </c>
      <c r="M146" s="375">
        <f t="shared" si="32"/>
        <v>3.2516500102507484</v>
      </c>
      <c r="N146" s="375">
        <f t="shared" si="32"/>
        <v>3.2316330129236279</v>
      </c>
      <c r="O146" s="375">
        <f t="shared" si="32"/>
        <v>3.202719572339999</v>
      </c>
      <c r="P146" s="375">
        <f t="shared" si="32"/>
        <v>6.2364067228065014</v>
      </c>
      <c r="Q146" s="375">
        <f t="shared" si="32"/>
        <v>3.0314630396523707</v>
      </c>
      <c r="R146" s="375">
        <f t="shared" si="32"/>
        <v>11.289586492498502</v>
      </c>
      <c r="S146" s="375">
        <f>(T145+S145)*(T144-S144)/2</f>
        <v>2.5621756578719963</v>
      </c>
      <c r="T146" s="375">
        <f t="shared" si="32"/>
        <v>2.1662839329577519</v>
      </c>
      <c r="U146" s="375">
        <f t="shared" si="32"/>
        <v>1.2988807154489983</v>
      </c>
      <c r="V146" s="375">
        <f t="shared" si="32"/>
        <v>0.44437734066217544</v>
      </c>
      <c r="W146" s="375">
        <f>(X145+W145)*(X144-W144)/2</f>
        <v>6.894743523786741E-5</v>
      </c>
      <c r="X146" s="375">
        <f>(Y145+X145)*(Y144-X144)/2</f>
        <v>0</v>
      </c>
      <c r="Y146" s="369"/>
    </row>
    <row r="147" spans="1:26" ht="13.5" thickBo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6" ht="13.5" thickBot="1" x14ac:dyDescent="0.25">
      <c r="A148" s="361" t="s">
        <v>390</v>
      </c>
      <c r="B148" s="359">
        <f>ROW(A148)</f>
        <v>148</v>
      </c>
      <c r="C148" s="363" t="s">
        <v>118</v>
      </c>
      <c r="D148" s="353">
        <f>SUM(B151:Y151)</f>
        <v>55.705884500000003</v>
      </c>
      <c r="E148" s="363" t="s">
        <v>117</v>
      </c>
      <c r="F148" s="354">
        <f>D148/g/J148</f>
        <v>180.84329814241278</v>
      </c>
      <c r="G148" s="363" t="s">
        <v>59</v>
      </c>
      <c r="H148" s="64">
        <v>0.1062</v>
      </c>
      <c r="I148" s="363" t="s">
        <v>276</v>
      </c>
      <c r="J148" s="355">
        <f>H148-L148</f>
        <v>3.1400000000000011E-2</v>
      </c>
      <c r="K148" s="363" t="s">
        <v>277</v>
      </c>
      <c r="L148" s="64">
        <v>7.4799999999999991E-2</v>
      </c>
      <c r="M148" s="363" t="s">
        <v>60</v>
      </c>
      <c r="N148" s="65">
        <v>49</v>
      </c>
      <c r="O148" s="363" t="s">
        <v>62</v>
      </c>
      <c r="P148" s="65">
        <v>49</v>
      </c>
      <c r="Q148" s="363" t="s">
        <v>63</v>
      </c>
      <c r="R148" s="65">
        <v>98</v>
      </c>
      <c r="S148" s="363" t="s">
        <v>64</v>
      </c>
      <c r="T148" s="65">
        <v>29</v>
      </c>
      <c r="U148" s="363" t="s">
        <v>57</v>
      </c>
      <c r="V148" s="66" t="s">
        <v>406</v>
      </c>
      <c r="W148" s="463" t="s">
        <v>400</v>
      </c>
      <c r="X148" s="465">
        <v>0.45</v>
      </c>
      <c r="Y148" s="463" t="s">
        <v>399</v>
      </c>
      <c r="Z148" s="358">
        <v>14</v>
      </c>
    </row>
    <row r="149" spans="1:26" x14ac:dyDescent="0.2">
      <c r="A149" s="362" t="s">
        <v>33</v>
      </c>
      <c r="B149" s="370">
        <v>0</v>
      </c>
      <c r="C149" s="371">
        <v>1.2999999999999999E-2</v>
      </c>
      <c r="D149" s="371">
        <v>1.7000000000000001E-2</v>
      </c>
      <c r="E149" s="371">
        <v>0.04</v>
      </c>
      <c r="F149" s="371">
        <v>0.125</v>
      </c>
      <c r="G149" s="371">
        <v>0.17899999999999999</v>
      </c>
      <c r="H149" s="371">
        <v>0.222</v>
      </c>
      <c r="I149" s="371">
        <v>0.28899999999999998</v>
      </c>
      <c r="J149" s="371">
        <v>0.35399999999999998</v>
      </c>
      <c r="K149" s="371">
        <v>0.39400000000000002</v>
      </c>
      <c r="L149" s="371">
        <v>0.40600000000000003</v>
      </c>
      <c r="M149" s="371">
        <v>0.41599999999999998</v>
      </c>
      <c r="N149" s="371">
        <v>0.42299999999999999</v>
      </c>
      <c r="O149" s="371">
        <v>0.43099999999999999</v>
      </c>
      <c r="P149" s="371">
        <v>0.44700000000000001</v>
      </c>
      <c r="Q149" s="371">
        <v>0.45300000000000001</v>
      </c>
      <c r="R149" s="371">
        <v>0.45500000000000002</v>
      </c>
      <c r="S149" s="371">
        <v>0.45500000000000002</v>
      </c>
      <c r="T149" s="371">
        <v>0.45500000000000002</v>
      </c>
      <c r="U149" s="371">
        <v>0.45500000000000002</v>
      </c>
      <c r="V149" s="371">
        <v>0.45500000000000002</v>
      </c>
      <c r="W149" s="371">
        <v>0.45500000000000002</v>
      </c>
      <c r="X149" s="371">
        <v>2</v>
      </c>
      <c r="Y149" s="381">
        <v>1000</v>
      </c>
    </row>
    <row r="150" spans="1:26" x14ac:dyDescent="0.2">
      <c r="A150" s="378" t="s">
        <v>34</v>
      </c>
      <c r="B150" s="372">
        <v>0</v>
      </c>
      <c r="C150" s="373">
        <v>79.242000000000004</v>
      </c>
      <c r="D150" s="373">
        <v>90.427000000000007</v>
      </c>
      <c r="E150" s="373">
        <v>101.422</v>
      </c>
      <c r="F150" s="373">
        <v>127.583</v>
      </c>
      <c r="G150" s="373">
        <v>136.114</v>
      </c>
      <c r="H150" s="373">
        <v>139.905</v>
      </c>
      <c r="I150" s="373">
        <v>143.50700000000001</v>
      </c>
      <c r="J150" s="373">
        <v>138.578</v>
      </c>
      <c r="K150" s="373">
        <v>125.498</v>
      </c>
      <c r="L150" s="373">
        <v>123.602</v>
      </c>
      <c r="M150" s="373">
        <v>125.11799999999999</v>
      </c>
      <c r="N150" s="373">
        <v>130.047</v>
      </c>
      <c r="O150" s="373">
        <v>120.569</v>
      </c>
      <c r="P150" s="373">
        <v>25.591999999999999</v>
      </c>
      <c r="Q150" s="373">
        <v>8.7200000000000006</v>
      </c>
      <c r="R150" s="373">
        <v>0</v>
      </c>
      <c r="S150" s="373">
        <v>0</v>
      </c>
      <c r="T150" s="373">
        <v>0</v>
      </c>
      <c r="U150" s="373">
        <v>0</v>
      </c>
      <c r="V150" s="373">
        <v>0</v>
      </c>
      <c r="W150" s="373">
        <v>0</v>
      </c>
      <c r="X150" s="373">
        <v>0</v>
      </c>
      <c r="Y150" s="382">
        <v>0</v>
      </c>
    </row>
    <row r="151" spans="1:26" ht="13.5" thickBot="1" x14ac:dyDescent="0.25">
      <c r="A151" s="379" t="s">
        <v>119</v>
      </c>
      <c r="B151" s="374">
        <f t="shared" ref="B151:X151" si="33">(C150+B150)*(C149-B149)/2</f>
        <v>0.515073</v>
      </c>
      <c r="C151" s="375">
        <f t="shared" si="33"/>
        <v>0.3393380000000002</v>
      </c>
      <c r="D151" s="375">
        <f t="shared" si="33"/>
        <v>2.2062634999999999</v>
      </c>
      <c r="E151" s="375">
        <f t="shared" si="33"/>
        <v>9.7327124999999981</v>
      </c>
      <c r="F151" s="375">
        <f t="shared" si="33"/>
        <v>7.1198189999999988</v>
      </c>
      <c r="G151" s="375">
        <f t="shared" si="33"/>
        <v>5.9344085000000018</v>
      </c>
      <c r="H151" s="375">
        <f t="shared" si="33"/>
        <v>9.4943019999999976</v>
      </c>
      <c r="I151" s="375">
        <f t="shared" si="33"/>
        <v>9.167762500000002</v>
      </c>
      <c r="J151" s="375">
        <f t="shared" si="33"/>
        <v>5.2815200000000049</v>
      </c>
      <c r="K151" s="375">
        <f t="shared" si="33"/>
        <v>1.4946000000000015</v>
      </c>
      <c r="L151" s="375">
        <f t="shared" si="33"/>
        <v>1.2435999999999943</v>
      </c>
      <c r="M151" s="375">
        <f t="shared" si="33"/>
        <v>0.89307750000000075</v>
      </c>
      <c r="N151" s="375">
        <f t="shared" si="33"/>
        <v>1.0024640000000009</v>
      </c>
      <c r="O151" s="375">
        <f t="shared" si="33"/>
        <v>1.169288000000001</v>
      </c>
      <c r="P151" s="375">
        <f t="shared" si="33"/>
        <v>0.10293600000000008</v>
      </c>
      <c r="Q151" s="375">
        <f t="shared" si="33"/>
        <v>8.720000000000009E-3</v>
      </c>
      <c r="R151" s="375">
        <f t="shared" si="33"/>
        <v>0</v>
      </c>
      <c r="S151" s="375">
        <f t="shared" si="33"/>
        <v>0</v>
      </c>
      <c r="T151" s="375">
        <f t="shared" si="33"/>
        <v>0</v>
      </c>
      <c r="U151" s="375">
        <f t="shared" si="33"/>
        <v>0</v>
      </c>
      <c r="V151" s="375">
        <f t="shared" si="33"/>
        <v>0</v>
      </c>
      <c r="W151" s="375">
        <f t="shared" si="33"/>
        <v>0</v>
      </c>
      <c r="X151" s="375">
        <f t="shared" si="33"/>
        <v>0</v>
      </c>
      <c r="Y151" s="369"/>
    </row>
    <row r="152" spans="1:26" ht="13.5" thickBo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6" ht="13.5" thickBot="1" x14ac:dyDescent="0.25">
      <c r="A153" s="361" t="s">
        <v>391</v>
      </c>
      <c r="B153" s="359">
        <f>ROW(A153)</f>
        <v>153</v>
      </c>
      <c r="C153" s="363" t="s">
        <v>118</v>
      </c>
      <c r="D153" s="353">
        <f>SUM(B156:Y156)</f>
        <v>57.190000000000005</v>
      </c>
      <c r="E153" s="363" t="s">
        <v>117</v>
      </c>
      <c r="F153" s="354">
        <f>D153/g/J153</f>
        <v>188.05695307618953</v>
      </c>
      <c r="G153" s="363" t="s">
        <v>59</v>
      </c>
      <c r="H153" s="64">
        <v>9.9000000000000005E-2</v>
      </c>
      <c r="I153" s="363" t="s">
        <v>276</v>
      </c>
      <c r="J153" s="355">
        <f>H153-L153</f>
        <v>3.1E-2</v>
      </c>
      <c r="K153" s="363" t="s">
        <v>277</v>
      </c>
      <c r="L153" s="64">
        <v>6.8000000000000005E-2</v>
      </c>
      <c r="M153" s="363" t="s">
        <v>60</v>
      </c>
      <c r="N153" s="65">
        <v>49</v>
      </c>
      <c r="O153" s="363" t="s">
        <v>62</v>
      </c>
      <c r="P153" s="65">
        <v>49</v>
      </c>
      <c r="Q153" s="363" t="s">
        <v>63</v>
      </c>
      <c r="R153" s="65">
        <v>98</v>
      </c>
      <c r="S153" s="363" t="s">
        <v>64</v>
      </c>
      <c r="T153" s="65">
        <v>29</v>
      </c>
      <c r="U153" s="363" t="s">
        <v>57</v>
      </c>
      <c r="V153" s="66" t="s">
        <v>405</v>
      </c>
      <c r="W153" s="463" t="s">
        <v>400</v>
      </c>
      <c r="X153" s="465">
        <v>0.96</v>
      </c>
      <c r="Y153" s="463" t="s">
        <v>399</v>
      </c>
      <c r="Z153" s="358">
        <v>12</v>
      </c>
    </row>
    <row r="154" spans="1:26" x14ac:dyDescent="0.2">
      <c r="A154" s="362" t="s">
        <v>33</v>
      </c>
      <c r="B154" s="370">
        <v>0</v>
      </c>
      <c r="C154" s="371">
        <v>0.01</v>
      </c>
      <c r="D154" s="371">
        <v>0.02</v>
      </c>
      <c r="E154" s="371">
        <v>0.03</v>
      </c>
      <c r="F154" s="371">
        <v>0.04</v>
      </c>
      <c r="G154" s="371">
        <v>7.0000000000000007E-2</v>
      </c>
      <c r="H154" s="371">
        <v>0.1</v>
      </c>
      <c r="I154" s="371">
        <v>0.2</v>
      </c>
      <c r="J154" s="371">
        <v>0.3</v>
      </c>
      <c r="K154" s="371">
        <v>0.4</v>
      </c>
      <c r="L154" s="371">
        <v>0.5</v>
      </c>
      <c r="M154" s="371">
        <v>0.6</v>
      </c>
      <c r="N154" s="371">
        <v>0.7</v>
      </c>
      <c r="O154" s="371">
        <v>0.87</v>
      </c>
      <c r="P154" s="371">
        <v>0.9</v>
      </c>
      <c r="Q154" s="371">
        <v>0.97</v>
      </c>
      <c r="R154" s="371">
        <v>0.97</v>
      </c>
      <c r="S154" s="371">
        <v>0.97</v>
      </c>
      <c r="T154" s="371">
        <v>0.97</v>
      </c>
      <c r="U154" s="371">
        <v>0.97</v>
      </c>
      <c r="V154" s="371">
        <v>0.97</v>
      </c>
      <c r="W154" s="371">
        <v>0.97</v>
      </c>
      <c r="X154" s="371">
        <v>2</v>
      </c>
      <c r="Y154" s="381">
        <v>1000</v>
      </c>
    </row>
    <row r="155" spans="1:26" x14ac:dyDescent="0.2">
      <c r="A155" s="378" t="s">
        <v>34</v>
      </c>
      <c r="B155" s="372">
        <v>0</v>
      </c>
      <c r="C155" s="373">
        <v>16</v>
      </c>
      <c r="D155" s="373">
        <v>62</v>
      </c>
      <c r="E155" s="373">
        <v>67</v>
      </c>
      <c r="F155" s="373">
        <v>71</v>
      </c>
      <c r="G155" s="373">
        <v>58</v>
      </c>
      <c r="H155" s="373">
        <v>63</v>
      </c>
      <c r="I155" s="373">
        <v>67</v>
      </c>
      <c r="J155" s="373">
        <v>69</v>
      </c>
      <c r="K155" s="373">
        <v>67</v>
      </c>
      <c r="L155" s="373">
        <v>65</v>
      </c>
      <c r="M155" s="373">
        <v>63</v>
      </c>
      <c r="N155" s="373">
        <v>61</v>
      </c>
      <c r="O155" s="373">
        <v>60</v>
      </c>
      <c r="P155" s="373">
        <v>23</v>
      </c>
      <c r="Q155" s="373">
        <v>0</v>
      </c>
      <c r="R155" s="373">
        <v>0</v>
      </c>
      <c r="S155" s="373">
        <v>0</v>
      </c>
      <c r="T155" s="373">
        <v>0</v>
      </c>
      <c r="U155" s="373">
        <v>0</v>
      </c>
      <c r="V155" s="373">
        <v>0</v>
      </c>
      <c r="W155" s="373">
        <v>0</v>
      </c>
      <c r="X155" s="373">
        <v>0</v>
      </c>
      <c r="Y155" s="382">
        <v>0</v>
      </c>
    </row>
    <row r="156" spans="1:26" ht="13.5" thickBot="1" x14ac:dyDescent="0.25">
      <c r="A156" s="379" t="s">
        <v>119</v>
      </c>
      <c r="B156" s="374">
        <f t="shared" ref="B156:X156" si="34">(C155+B155)*(C154-B154)/2</f>
        <v>0.08</v>
      </c>
      <c r="C156" s="375">
        <f t="shared" si="34"/>
        <v>0.39</v>
      </c>
      <c r="D156" s="375">
        <f t="shared" si="34"/>
        <v>0.64499999999999991</v>
      </c>
      <c r="E156" s="375">
        <f t="shared" si="34"/>
        <v>0.69000000000000017</v>
      </c>
      <c r="F156" s="375">
        <f t="shared" si="34"/>
        <v>1.9350000000000003</v>
      </c>
      <c r="G156" s="375">
        <f t="shared" si="34"/>
        <v>1.8149999999999999</v>
      </c>
      <c r="H156" s="375">
        <f t="shared" si="34"/>
        <v>6.5</v>
      </c>
      <c r="I156" s="375">
        <f t="shared" si="34"/>
        <v>6.7999999999999989</v>
      </c>
      <c r="J156" s="375">
        <f t="shared" si="34"/>
        <v>6.8000000000000025</v>
      </c>
      <c r="K156" s="375">
        <f t="shared" si="34"/>
        <v>6.5999999999999988</v>
      </c>
      <c r="L156" s="375">
        <f t="shared" si="34"/>
        <v>6.3999999999999986</v>
      </c>
      <c r="M156" s="375">
        <f t="shared" si="34"/>
        <v>6.1999999999999984</v>
      </c>
      <c r="N156" s="375">
        <f t="shared" si="34"/>
        <v>10.285000000000002</v>
      </c>
      <c r="O156" s="375">
        <f t="shared" si="34"/>
        <v>1.245000000000001</v>
      </c>
      <c r="P156" s="375">
        <f t="shared" si="34"/>
        <v>0.80499999999999949</v>
      </c>
      <c r="Q156" s="375">
        <f t="shared" si="34"/>
        <v>0</v>
      </c>
      <c r="R156" s="375">
        <f t="shared" si="34"/>
        <v>0</v>
      </c>
      <c r="S156" s="375">
        <f t="shared" si="34"/>
        <v>0</v>
      </c>
      <c r="T156" s="375">
        <f t="shared" si="34"/>
        <v>0</v>
      </c>
      <c r="U156" s="375">
        <f t="shared" si="34"/>
        <v>0</v>
      </c>
      <c r="V156" s="375">
        <f t="shared" si="34"/>
        <v>0</v>
      </c>
      <c r="W156" s="375">
        <f t="shared" si="34"/>
        <v>0</v>
      </c>
      <c r="X156" s="375">
        <f t="shared" si="34"/>
        <v>0</v>
      </c>
      <c r="Y156" s="369"/>
    </row>
    <row r="157" spans="1:26" ht="13.5" thickBot="1" x14ac:dyDescent="0.25">
      <c r="A157" s="6" t="s">
        <v>320</v>
      </c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6" ht="13.5" thickBot="1" x14ac:dyDescent="0.25">
      <c r="A158" s="361" t="s">
        <v>327</v>
      </c>
      <c r="B158" s="359">
        <f>ROW(A158)</f>
        <v>158</v>
      </c>
      <c r="C158" s="363" t="s">
        <v>118</v>
      </c>
      <c r="D158" s="353">
        <f>SUM(B161:Y161)</f>
        <v>59.702267000000006</v>
      </c>
      <c r="E158" s="363" t="s">
        <v>117</v>
      </c>
      <c r="F158" s="354">
        <f>D158/g/J158</f>
        <v>190.77924771281306</v>
      </c>
      <c r="G158" s="363" t="s">
        <v>59</v>
      </c>
      <c r="H158" s="64">
        <v>9.3899999999999997E-2</v>
      </c>
      <c r="I158" s="363" t="s">
        <v>276</v>
      </c>
      <c r="J158" s="355">
        <f>H158-L158</f>
        <v>3.1899999999999998E-2</v>
      </c>
      <c r="K158" s="363" t="s">
        <v>277</v>
      </c>
      <c r="L158" s="64">
        <f>0.095-0.033</f>
        <v>6.2E-2</v>
      </c>
      <c r="M158" s="363" t="s">
        <v>60</v>
      </c>
      <c r="N158" s="396">
        <v>66.5</v>
      </c>
      <c r="O158" s="363" t="s">
        <v>62</v>
      </c>
      <c r="P158" s="396">
        <v>66.5</v>
      </c>
      <c r="Q158" s="363" t="s">
        <v>63</v>
      </c>
      <c r="R158" s="65">
        <v>133</v>
      </c>
      <c r="S158" s="363" t="s">
        <v>64</v>
      </c>
      <c r="T158" s="65">
        <v>24</v>
      </c>
      <c r="U158" s="363" t="s">
        <v>57</v>
      </c>
      <c r="V158" s="66" t="s">
        <v>405</v>
      </c>
      <c r="W158" s="463" t="s">
        <v>400</v>
      </c>
      <c r="X158" s="465">
        <v>1.2</v>
      </c>
      <c r="Y158" s="463" t="s">
        <v>399</v>
      </c>
      <c r="Z158" s="358">
        <v>13</v>
      </c>
    </row>
    <row r="159" spans="1:26" x14ac:dyDescent="0.2">
      <c r="A159" s="362" t="s">
        <v>33</v>
      </c>
      <c r="B159" s="370">
        <v>0</v>
      </c>
      <c r="C159" s="371">
        <v>1.4999999999999999E-2</v>
      </c>
      <c r="D159" s="371">
        <v>2.1999999999999999E-2</v>
      </c>
      <c r="E159" s="371">
        <v>6.4000000000000001E-2</v>
      </c>
      <c r="F159" s="371">
        <v>0.11799999999999999</v>
      </c>
      <c r="G159" s="371">
        <v>0.34200000000000003</v>
      </c>
      <c r="H159" s="371">
        <v>0.53600000000000003</v>
      </c>
      <c r="I159" s="371">
        <v>0.74299999999999999</v>
      </c>
      <c r="J159" s="371">
        <v>0.88400000000000001</v>
      </c>
      <c r="K159" s="371">
        <v>0.97599999999999998</v>
      </c>
      <c r="L159" s="371">
        <v>1.0960000000000001</v>
      </c>
      <c r="M159" s="371">
        <v>1.246</v>
      </c>
      <c r="N159" s="371">
        <v>1.298</v>
      </c>
      <c r="O159" s="371">
        <v>2</v>
      </c>
      <c r="P159" s="371">
        <v>2</v>
      </c>
      <c r="Q159" s="371">
        <v>2</v>
      </c>
      <c r="R159" s="371">
        <v>2</v>
      </c>
      <c r="S159" s="371">
        <v>2</v>
      </c>
      <c r="T159" s="371">
        <v>2</v>
      </c>
      <c r="U159" s="371">
        <v>2</v>
      </c>
      <c r="V159" s="371">
        <v>2</v>
      </c>
      <c r="W159" s="371">
        <v>2</v>
      </c>
      <c r="X159" s="371">
        <f t="shared" ref="T159:X160" si="35">W159</f>
        <v>2</v>
      </c>
      <c r="Y159" s="381">
        <v>1000</v>
      </c>
    </row>
    <row r="160" spans="1:26" x14ac:dyDescent="0.2">
      <c r="A160" s="378" t="s">
        <v>34</v>
      </c>
      <c r="B160" s="372">
        <v>0</v>
      </c>
      <c r="C160" s="373">
        <v>64.981999999999999</v>
      </c>
      <c r="D160" s="373">
        <v>69.516000000000005</v>
      </c>
      <c r="E160" s="373">
        <v>55.536999999999999</v>
      </c>
      <c r="F160" s="373">
        <v>62.81</v>
      </c>
      <c r="G160" s="373">
        <v>62.149000000000001</v>
      </c>
      <c r="H160" s="373">
        <v>59.41</v>
      </c>
      <c r="I160" s="373">
        <v>53.837000000000003</v>
      </c>
      <c r="J160" s="373">
        <v>46.942</v>
      </c>
      <c r="K160" s="373">
        <v>40.046999999999997</v>
      </c>
      <c r="L160" s="373">
        <v>12.561999999999999</v>
      </c>
      <c r="M160" s="373">
        <v>2.0779999999999998</v>
      </c>
      <c r="N160" s="373">
        <v>0</v>
      </c>
      <c r="O160" s="373">
        <v>0</v>
      </c>
      <c r="P160" s="373">
        <v>0</v>
      </c>
      <c r="Q160" s="373">
        <v>0</v>
      </c>
      <c r="R160" s="373">
        <v>0</v>
      </c>
      <c r="S160" s="373">
        <v>0</v>
      </c>
      <c r="T160" s="373">
        <f t="shared" si="35"/>
        <v>0</v>
      </c>
      <c r="U160" s="373">
        <f t="shared" si="35"/>
        <v>0</v>
      </c>
      <c r="V160" s="373">
        <f t="shared" si="35"/>
        <v>0</v>
      </c>
      <c r="W160" s="373">
        <f t="shared" si="35"/>
        <v>0</v>
      </c>
      <c r="X160" s="373">
        <f t="shared" si="35"/>
        <v>0</v>
      </c>
      <c r="Y160" s="382">
        <v>0</v>
      </c>
    </row>
    <row r="161" spans="1:26" ht="13.5" thickBot="1" x14ac:dyDescent="0.25">
      <c r="A161" s="379" t="s">
        <v>119</v>
      </c>
      <c r="B161" s="374">
        <f t="shared" ref="B161:V161" si="36">(C160+B160)*(C159-B159)/2</f>
        <v>0.48736499999999999</v>
      </c>
      <c r="C161" s="375">
        <f t="shared" si="36"/>
        <v>0.47074299999999991</v>
      </c>
      <c r="D161" s="375">
        <f t="shared" si="36"/>
        <v>2.6261130000000001</v>
      </c>
      <c r="E161" s="375">
        <f t="shared" si="36"/>
        <v>3.1953689999999999</v>
      </c>
      <c r="F161" s="375">
        <f t="shared" si="36"/>
        <v>13.995408000000003</v>
      </c>
      <c r="G161" s="375">
        <f t="shared" si="36"/>
        <v>11.791223</v>
      </c>
      <c r="H161" s="375">
        <f t="shared" si="36"/>
        <v>11.721064499999997</v>
      </c>
      <c r="I161" s="375">
        <f t="shared" si="36"/>
        <v>7.1049195000000003</v>
      </c>
      <c r="J161" s="375">
        <f>(K160+J160)*(K159-J159)/2</f>
        <v>4.0014939999999992</v>
      </c>
      <c r="K161" s="375">
        <f t="shared" si="36"/>
        <v>3.1565400000000023</v>
      </c>
      <c r="L161" s="375">
        <f t="shared" si="36"/>
        <v>1.0979999999999992</v>
      </c>
      <c r="M161" s="375">
        <f t="shared" si="36"/>
        <v>5.4028000000000041E-2</v>
      </c>
      <c r="N161" s="375">
        <f t="shared" si="36"/>
        <v>0</v>
      </c>
      <c r="O161" s="375">
        <f t="shared" si="36"/>
        <v>0</v>
      </c>
      <c r="P161" s="375">
        <f t="shared" si="36"/>
        <v>0</v>
      </c>
      <c r="Q161" s="375">
        <f t="shared" si="36"/>
        <v>0</v>
      </c>
      <c r="R161" s="375">
        <f t="shared" si="36"/>
        <v>0</v>
      </c>
      <c r="S161" s="375">
        <f>(T160+S160)*(T159-S159)/2</f>
        <v>0</v>
      </c>
      <c r="T161" s="375">
        <f t="shared" si="36"/>
        <v>0</v>
      </c>
      <c r="U161" s="375">
        <f t="shared" si="36"/>
        <v>0</v>
      </c>
      <c r="V161" s="375">
        <f t="shared" si="36"/>
        <v>0</v>
      </c>
      <c r="W161" s="375">
        <f>(X160+W160)*(X159-W159)/2</f>
        <v>0</v>
      </c>
      <c r="X161" s="375">
        <f>(Y160+X160)*(Y159-X159)/2</f>
        <v>0</v>
      </c>
      <c r="Y161" s="369"/>
    </row>
    <row r="162" spans="1:26" ht="13.5" thickBot="1" x14ac:dyDescent="0.25"/>
    <row r="163" spans="1:26" ht="13.5" thickBot="1" x14ac:dyDescent="0.25">
      <c r="A163" s="361" t="s">
        <v>328</v>
      </c>
      <c r="B163" s="359">
        <f>ROW(A163)</f>
        <v>163</v>
      </c>
      <c r="C163" s="363" t="s">
        <v>118</v>
      </c>
      <c r="D163" s="353">
        <f>SUM(B166:Y166)</f>
        <v>68.380602999999994</v>
      </c>
      <c r="E163" s="363" t="s">
        <v>117</v>
      </c>
      <c r="F163" s="354">
        <f>D163/g/J163</f>
        <v>134.04807300243078</v>
      </c>
      <c r="G163" s="363" t="s">
        <v>59</v>
      </c>
      <c r="H163" s="64">
        <v>0.1075</v>
      </c>
      <c r="I163" s="363" t="s">
        <v>276</v>
      </c>
      <c r="J163" s="355">
        <f>H163-L163</f>
        <v>5.1999999999999998E-2</v>
      </c>
      <c r="K163" s="363" t="s">
        <v>277</v>
      </c>
      <c r="L163" s="64">
        <v>5.5500000000000001E-2</v>
      </c>
      <c r="M163" s="363" t="s">
        <v>60</v>
      </c>
      <c r="N163" s="396">
        <v>66.5</v>
      </c>
      <c r="O163" s="363" t="s">
        <v>62</v>
      </c>
      <c r="P163" s="396">
        <v>66.5</v>
      </c>
      <c r="Q163" s="363" t="s">
        <v>63</v>
      </c>
      <c r="R163" s="65">
        <v>133</v>
      </c>
      <c r="S163" s="363" t="s">
        <v>64</v>
      </c>
      <c r="T163" s="65">
        <v>24</v>
      </c>
      <c r="U163" s="363" t="s">
        <v>57</v>
      </c>
      <c r="V163" s="66" t="s">
        <v>405</v>
      </c>
      <c r="W163" s="463" t="s">
        <v>400</v>
      </c>
      <c r="X163" s="465">
        <v>0.86</v>
      </c>
      <c r="Y163" s="463" t="s">
        <v>399</v>
      </c>
      <c r="Z163" s="358">
        <v>13</v>
      </c>
    </row>
    <row r="164" spans="1:26" x14ac:dyDescent="0.2">
      <c r="A164" s="362" t="s">
        <v>33</v>
      </c>
      <c r="B164" s="370">
        <v>0</v>
      </c>
      <c r="C164" s="371">
        <v>5.0000000000000001E-3</v>
      </c>
      <c r="D164" s="371">
        <v>1.2999999999999999E-2</v>
      </c>
      <c r="E164" s="371">
        <v>2.1999999999999999E-2</v>
      </c>
      <c r="F164" s="371">
        <v>4.2999999999999997E-2</v>
      </c>
      <c r="G164" s="371">
        <v>0.11899999999999999</v>
      </c>
      <c r="H164" s="371">
        <v>0.19800000000000001</v>
      </c>
      <c r="I164" s="371">
        <v>0.26700000000000002</v>
      </c>
      <c r="J164" s="371">
        <v>0.34300000000000003</v>
      </c>
      <c r="K164" s="371">
        <v>0.40400000000000003</v>
      </c>
      <c r="L164" s="371">
        <v>0.498</v>
      </c>
      <c r="M164" s="371">
        <v>0.55500000000000005</v>
      </c>
      <c r="N164" s="371">
        <v>0.622</v>
      </c>
      <c r="O164" s="371">
        <v>0.66300000000000003</v>
      </c>
      <c r="P164" s="371">
        <v>0.70399999999999996</v>
      </c>
      <c r="Q164" s="371">
        <v>0.72899999999999998</v>
      </c>
      <c r="R164" s="371">
        <v>0.747</v>
      </c>
      <c r="S164" s="371">
        <v>0.76800000000000002</v>
      </c>
      <c r="T164" s="371">
        <v>0.82099999999999995</v>
      </c>
      <c r="U164" s="371">
        <v>0.85199999999999998</v>
      </c>
      <c r="V164" s="371">
        <v>0.89200000000000002</v>
      </c>
      <c r="W164" s="371">
        <v>1</v>
      </c>
      <c r="X164" s="371">
        <v>2</v>
      </c>
      <c r="Y164" s="381">
        <v>1000</v>
      </c>
    </row>
    <row r="165" spans="1:26" x14ac:dyDescent="0.2">
      <c r="A165" s="378" t="s">
        <v>34</v>
      </c>
      <c r="B165" s="372">
        <v>0</v>
      </c>
      <c r="C165" s="373">
        <v>60</v>
      </c>
      <c r="D165" s="373">
        <v>89.007000000000005</v>
      </c>
      <c r="E165" s="373">
        <v>96.290999999999997</v>
      </c>
      <c r="F165" s="373">
        <v>81.721999999999994</v>
      </c>
      <c r="G165" s="373">
        <v>85.563000000000002</v>
      </c>
      <c r="H165" s="373">
        <v>87.947000000000003</v>
      </c>
      <c r="I165" s="373">
        <v>89.272000000000006</v>
      </c>
      <c r="J165" s="373">
        <v>89.933999999999997</v>
      </c>
      <c r="K165" s="373">
        <v>90.861000000000004</v>
      </c>
      <c r="L165" s="373">
        <v>91.522999999999996</v>
      </c>
      <c r="M165" s="373">
        <v>89.668999999999997</v>
      </c>
      <c r="N165" s="373">
        <v>83.974000000000004</v>
      </c>
      <c r="O165" s="373">
        <v>80.53</v>
      </c>
      <c r="P165" s="373">
        <v>78.94</v>
      </c>
      <c r="Q165" s="373">
        <v>74.171999999999997</v>
      </c>
      <c r="R165" s="373">
        <v>66.887</v>
      </c>
      <c r="S165" s="373">
        <v>53.774999999999999</v>
      </c>
      <c r="T165" s="373">
        <v>18.542999999999999</v>
      </c>
      <c r="U165" s="373">
        <v>7.8150000000000004</v>
      </c>
      <c r="V165" s="373">
        <v>2.1190000000000002</v>
      </c>
      <c r="W165" s="373">
        <v>0</v>
      </c>
      <c r="X165" s="373">
        <v>0</v>
      </c>
      <c r="Y165" s="382">
        <v>0</v>
      </c>
    </row>
    <row r="166" spans="1:26" ht="13.5" thickBot="1" x14ac:dyDescent="0.25">
      <c r="A166" s="379" t="s">
        <v>119</v>
      </c>
      <c r="B166" s="374">
        <f t="shared" ref="B166:X166" si="37">(C165+B165)*(C164-B164)/2</f>
        <v>0.15</v>
      </c>
      <c r="C166" s="375">
        <f t="shared" si="37"/>
        <v>0.596028</v>
      </c>
      <c r="D166" s="375">
        <f t="shared" si="37"/>
        <v>0.83384099999999994</v>
      </c>
      <c r="E166" s="375">
        <f t="shared" si="37"/>
        <v>1.8691364999999995</v>
      </c>
      <c r="F166" s="375">
        <f t="shared" si="37"/>
        <v>6.3568299999999995</v>
      </c>
      <c r="G166" s="375">
        <f t="shared" si="37"/>
        <v>6.8536450000000011</v>
      </c>
      <c r="H166" s="375">
        <f t="shared" si="37"/>
        <v>6.1140555000000001</v>
      </c>
      <c r="I166" s="375">
        <f t="shared" si="37"/>
        <v>6.8098280000000013</v>
      </c>
      <c r="J166" s="375">
        <f t="shared" si="37"/>
        <v>5.5142475000000006</v>
      </c>
      <c r="K166" s="375">
        <f t="shared" si="37"/>
        <v>8.5720479999999988</v>
      </c>
      <c r="L166" s="375">
        <f t="shared" si="37"/>
        <v>5.1639720000000047</v>
      </c>
      <c r="M166" s="375">
        <f t="shared" si="37"/>
        <v>5.8170404999999956</v>
      </c>
      <c r="N166" s="375">
        <f t="shared" si="37"/>
        <v>3.3723320000000032</v>
      </c>
      <c r="O166" s="375">
        <f t="shared" si="37"/>
        <v>3.2691349999999941</v>
      </c>
      <c r="P166" s="375">
        <f t="shared" si="37"/>
        <v>1.9139000000000017</v>
      </c>
      <c r="Q166" s="375">
        <f t="shared" si="37"/>
        <v>1.2695310000000011</v>
      </c>
      <c r="R166" s="375">
        <f t="shared" si="37"/>
        <v>1.2669510000000013</v>
      </c>
      <c r="S166" s="375">
        <f t="shared" si="37"/>
        <v>1.9164269999999977</v>
      </c>
      <c r="T166" s="375">
        <f t="shared" si="37"/>
        <v>0.40854900000000038</v>
      </c>
      <c r="U166" s="375">
        <f t="shared" si="37"/>
        <v>0.19868000000000019</v>
      </c>
      <c r="V166" s="375">
        <f t="shared" si="37"/>
        <v>0.114426</v>
      </c>
      <c r="W166" s="375">
        <f t="shared" si="37"/>
        <v>0</v>
      </c>
      <c r="X166" s="375">
        <f t="shared" si="37"/>
        <v>0</v>
      </c>
      <c r="Y166" s="369"/>
    </row>
    <row r="167" spans="1:26" ht="13.5" thickBo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6" ht="13.5" thickBot="1" x14ac:dyDescent="0.25">
      <c r="A168" s="361" t="s">
        <v>329</v>
      </c>
      <c r="B168" s="359">
        <f>ROW(A168)</f>
        <v>168</v>
      </c>
      <c r="C168" s="363" t="s">
        <v>118</v>
      </c>
      <c r="D168" s="353">
        <f>SUM(B171:Y171)</f>
        <v>67.985428500000012</v>
      </c>
      <c r="E168" s="363" t="s">
        <v>117</v>
      </c>
      <c r="F168" s="354">
        <f>D168/g/J168</f>
        <v>181.89545859519862</v>
      </c>
      <c r="G168" s="363" t="s">
        <v>59</v>
      </c>
      <c r="H168" s="64">
        <v>9.1799999999999993E-2</v>
      </c>
      <c r="I168" s="363" t="s">
        <v>276</v>
      </c>
      <c r="J168" s="355">
        <f>H168-L168</f>
        <v>3.8099999999999988E-2</v>
      </c>
      <c r="K168" s="363" t="s">
        <v>277</v>
      </c>
      <c r="L168" s="64">
        <v>5.3700000000000005E-2</v>
      </c>
      <c r="M168" s="363" t="s">
        <v>60</v>
      </c>
      <c r="N168" s="396">
        <v>66.5</v>
      </c>
      <c r="O168" s="363" t="s">
        <v>62</v>
      </c>
      <c r="P168" s="396">
        <v>66.5</v>
      </c>
      <c r="Q168" s="363" t="s">
        <v>63</v>
      </c>
      <c r="R168" s="65">
        <v>133</v>
      </c>
      <c r="S168" s="363" t="s">
        <v>64</v>
      </c>
      <c r="T168" s="65">
        <v>24</v>
      </c>
      <c r="U168" s="363" t="s">
        <v>57</v>
      </c>
      <c r="V168" s="66" t="s">
        <v>405</v>
      </c>
      <c r="W168" s="463" t="s">
        <v>400</v>
      </c>
      <c r="X168" s="465">
        <v>0.33</v>
      </c>
      <c r="Y168" s="463" t="s">
        <v>399</v>
      </c>
      <c r="Z168" s="358">
        <v>15</v>
      </c>
    </row>
    <row r="169" spans="1:26" x14ac:dyDescent="0.2">
      <c r="A169" s="362" t="s">
        <v>33</v>
      </c>
      <c r="B169" s="370">
        <v>0</v>
      </c>
      <c r="C169" s="371">
        <v>4.0000000000000001E-3</v>
      </c>
      <c r="D169" s="371">
        <v>7.0000000000000001E-3</v>
      </c>
      <c r="E169" s="371">
        <v>0.01</v>
      </c>
      <c r="F169" s="371">
        <v>2.1999999999999999E-2</v>
      </c>
      <c r="G169" s="371">
        <v>2.8000000000000001E-2</v>
      </c>
      <c r="H169" s="371">
        <v>4.1000000000000002E-2</v>
      </c>
      <c r="I169" s="371">
        <v>5.8000000000000003E-2</v>
      </c>
      <c r="J169" s="371">
        <v>7.6999999999999999E-2</v>
      </c>
      <c r="K169" s="371">
        <v>8.8999999999999996E-2</v>
      </c>
      <c r="L169" s="371">
        <v>9.7000000000000003E-2</v>
      </c>
      <c r="M169" s="371">
        <v>0.11899999999999999</v>
      </c>
      <c r="N169" s="371">
        <v>0.14699999999999999</v>
      </c>
      <c r="O169" s="371">
        <v>0.17699999999999999</v>
      </c>
      <c r="P169" s="371">
        <v>0.20699999999999999</v>
      </c>
      <c r="Q169" s="371">
        <v>0.253</v>
      </c>
      <c r="R169" s="371">
        <v>0.25900000000000001</v>
      </c>
      <c r="S169" s="371">
        <v>0.27200000000000002</v>
      </c>
      <c r="T169" s="371">
        <v>0.28000000000000003</v>
      </c>
      <c r="U169" s="371">
        <v>0.28599999999999998</v>
      </c>
      <c r="V169" s="371">
        <v>0.29399999999999998</v>
      </c>
      <c r="W169" s="371">
        <v>0.32800000000000001</v>
      </c>
      <c r="X169" s="371">
        <v>2</v>
      </c>
      <c r="Y169" s="381">
        <v>1000</v>
      </c>
    </row>
    <row r="170" spans="1:26" x14ac:dyDescent="0.2">
      <c r="A170" s="378" t="s">
        <v>34</v>
      </c>
      <c r="B170" s="372">
        <v>0</v>
      </c>
      <c r="C170" s="376">
        <v>100.52800000000001</v>
      </c>
      <c r="D170" s="376">
        <v>197.49299999999999</v>
      </c>
      <c r="E170" s="376">
        <v>222.03200000000001</v>
      </c>
      <c r="F170" s="376">
        <v>241.42500000000001</v>
      </c>
      <c r="G170" s="376">
        <v>237.863</v>
      </c>
      <c r="H170" s="376">
        <v>239.446</v>
      </c>
      <c r="I170" s="376">
        <v>252.50700000000001</v>
      </c>
      <c r="J170" s="376">
        <v>263.98399999999998</v>
      </c>
      <c r="K170" s="376">
        <v>275.46199999999999</v>
      </c>
      <c r="L170" s="376">
        <v>271.50400000000002</v>
      </c>
      <c r="M170" s="376">
        <v>278.62799999999999</v>
      </c>
      <c r="N170" s="376">
        <v>281.39800000000002</v>
      </c>
      <c r="O170" s="376">
        <v>272.29599999999999</v>
      </c>
      <c r="P170" s="376">
        <v>258.44299999999998</v>
      </c>
      <c r="Q170" s="376">
        <v>218.47</v>
      </c>
      <c r="R170" s="376">
        <v>188.786</v>
      </c>
      <c r="S170" s="376">
        <v>74.802000000000007</v>
      </c>
      <c r="T170" s="376">
        <v>31.265999999999998</v>
      </c>
      <c r="U170" s="376">
        <v>15.831</v>
      </c>
      <c r="V170" s="376">
        <v>8.7070000000000007</v>
      </c>
      <c r="W170" s="376">
        <v>0</v>
      </c>
      <c r="X170" s="373">
        <v>0</v>
      </c>
      <c r="Y170" s="382">
        <v>0</v>
      </c>
    </row>
    <row r="171" spans="1:26" ht="13.5" thickBot="1" x14ac:dyDescent="0.25">
      <c r="A171" s="379" t="s">
        <v>119</v>
      </c>
      <c r="B171" s="374">
        <f t="shared" ref="B171:X171" si="38">(C170+B170)*(C169-B169)/2</f>
        <v>0.20105600000000001</v>
      </c>
      <c r="C171" s="375">
        <f t="shared" si="38"/>
        <v>0.44703150000000003</v>
      </c>
      <c r="D171" s="375">
        <f t="shared" si="38"/>
        <v>0.6292875</v>
      </c>
      <c r="E171" s="375">
        <f t="shared" si="38"/>
        <v>2.7807419999999996</v>
      </c>
      <c r="F171" s="375">
        <f t="shared" si="38"/>
        <v>1.4378640000000005</v>
      </c>
      <c r="G171" s="375">
        <f t="shared" si="38"/>
        <v>3.1025084999999999</v>
      </c>
      <c r="H171" s="375">
        <f t="shared" si="38"/>
        <v>4.1816005000000001</v>
      </c>
      <c r="I171" s="375">
        <f t="shared" si="38"/>
        <v>4.9066644999999989</v>
      </c>
      <c r="J171" s="375">
        <f t="shared" si="38"/>
        <v>3.2366759999999988</v>
      </c>
      <c r="K171" s="375">
        <f t="shared" si="38"/>
        <v>2.187864000000002</v>
      </c>
      <c r="L171" s="375">
        <f t="shared" si="38"/>
        <v>6.0514519999999985</v>
      </c>
      <c r="M171" s="375">
        <f t="shared" si="38"/>
        <v>7.8403640000000001</v>
      </c>
      <c r="N171" s="375">
        <f t="shared" si="38"/>
        <v>8.3054099999999984</v>
      </c>
      <c r="O171" s="375">
        <f t="shared" si="38"/>
        <v>7.9610850000000006</v>
      </c>
      <c r="P171" s="375">
        <f t="shared" si="38"/>
        <v>10.968999000000004</v>
      </c>
      <c r="Q171" s="375">
        <f t="shared" si="38"/>
        <v>1.2217680000000011</v>
      </c>
      <c r="R171" s="375">
        <f t="shared" si="38"/>
        <v>1.7133220000000016</v>
      </c>
      <c r="S171" s="375">
        <f t="shared" si="38"/>
        <v>0.42427200000000043</v>
      </c>
      <c r="T171" s="375">
        <f t="shared" si="38"/>
        <v>0.14129099999999881</v>
      </c>
      <c r="U171" s="375">
        <f t="shared" si="38"/>
        <v>9.8152000000000086E-2</v>
      </c>
      <c r="V171" s="375">
        <f t="shared" si="38"/>
        <v>0.14801900000000015</v>
      </c>
      <c r="W171" s="375">
        <f t="shared" si="38"/>
        <v>0</v>
      </c>
      <c r="X171" s="375">
        <f t="shared" si="38"/>
        <v>0</v>
      </c>
      <c r="Y171" s="369"/>
    </row>
    <row r="172" spans="1:26" ht="13.5" thickBo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6" ht="13.5" thickBot="1" x14ac:dyDescent="0.25">
      <c r="A173" s="361" t="s">
        <v>330</v>
      </c>
      <c r="B173" s="359">
        <f>ROW(A173)</f>
        <v>173</v>
      </c>
      <c r="C173" s="363" t="s">
        <v>118</v>
      </c>
      <c r="D173" s="353">
        <f>SUM(B176:Y176)</f>
        <v>73.557381500000005</v>
      </c>
      <c r="E173" s="363" t="s">
        <v>117</v>
      </c>
      <c r="F173" s="354">
        <f>D173/g/J173</f>
        <v>156.86619302308719</v>
      </c>
      <c r="G173" s="363" t="s">
        <v>59</v>
      </c>
      <c r="H173" s="64">
        <v>0.1022</v>
      </c>
      <c r="I173" s="363" t="s">
        <v>276</v>
      </c>
      <c r="J173" s="355">
        <f>H173-L173</f>
        <v>4.7800000000000002E-2</v>
      </c>
      <c r="K173" s="363" t="s">
        <v>277</v>
      </c>
      <c r="L173" s="64">
        <v>5.4399999999999997E-2</v>
      </c>
      <c r="M173" s="363" t="s">
        <v>60</v>
      </c>
      <c r="N173" s="396">
        <v>66.5</v>
      </c>
      <c r="O173" s="363" t="s">
        <v>62</v>
      </c>
      <c r="P173" s="396">
        <v>66.5</v>
      </c>
      <c r="Q173" s="363" t="s">
        <v>63</v>
      </c>
      <c r="R173" s="65">
        <v>133</v>
      </c>
      <c r="S173" s="363" t="s">
        <v>64</v>
      </c>
      <c r="T173" s="65">
        <v>24</v>
      </c>
      <c r="U173" s="363" t="s">
        <v>57</v>
      </c>
      <c r="V173" s="66" t="s">
        <v>405</v>
      </c>
      <c r="W173" s="463" t="s">
        <v>400</v>
      </c>
      <c r="X173" s="465">
        <v>2.36</v>
      </c>
      <c r="Y173" s="463" t="s">
        <v>399</v>
      </c>
      <c r="Z173" s="358">
        <v>6</v>
      </c>
    </row>
    <row r="174" spans="1:26" x14ac:dyDescent="0.2">
      <c r="A174" s="362" t="s">
        <v>33</v>
      </c>
      <c r="B174" s="370">
        <v>0</v>
      </c>
      <c r="C174" s="371">
        <v>1.4E-2</v>
      </c>
      <c r="D174" s="371">
        <v>5.6000000000000001E-2</v>
      </c>
      <c r="E174" s="371">
        <v>9.1999999999999998E-2</v>
      </c>
      <c r="F174" s="371">
        <v>0.16</v>
      </c>
      <c r="G174" s="371">
        <v>0.23200000000000001</v>
      </c>
      <c r="H174" s="371">
        <v>0.36299999999999999</v>
      </c>
      <c r="I174" s="371">
        <v>0.499</v>
      </c>
      <c r="J174" s="371">
        <v>0.65500000000000003</v>
      </c>
      <c r="K174" s="371">
        <v>0.84299999999999997</v>
      </c>
      <c r="L174" s="371">
        <v>1.216</v>
      </c>
      <c r="M174" s="371">
        <v>1.3680000000000001</v>
      </c>
      <c r="N174" s="371">
        <v>1.54</v>
      </c>
      <c r="O174" s="371">
        <v>1.675</v>
      </c>
      <c r="P174" s="371">
        <v>1.861</v>
      </c>
      <c r="Q174" s="371">
        <v>2.0129999999999999</v>
      </c>
      <c r="R174" s="371">
        <v>2.1589999999999998</v>
      </c>
      <c r="S174" s="371">
        <v>2.302</v>
      </c>
      <c r="T174" s="371">
        <v>2.4620000000000002</v>
      </c>
      <c r="U174" s="371">
        <v>2.5979999999999999</v>
      </c>
      <c r="V174" s="371">
        <v>2.5979999999999999</v>
      </c>
      <c r="W174" s="371">
        <v>2.5979999999999999</v>
      </c>
      <c r="X174" s="371">
        <v>2.5979999999999999</v>
      </c>
      <c r="Y174" s="381">
        <v>1000</v>
      </c>
    </row>
    <row r="175" spans="1:26" x14ac:dyDescent="0.2">
      <c r="A175" s="378" t="s">
        <v>34</v>
      </c>
      <c r="B175" s="372">
        <v>0</v>
      </c>
      <c r="C175" s="376">
        <v>54.222000000000001</v>
      </c>
      <c r="D175" s="376">
        <v>43.456000000000003</v>
      </c>
      <c r="E175" s="376">
        <v>50.185000000000002</v>
      </c>
      <c r="F175" s="376">
        <v>54.063000000000002</v>
      </c>
      <c r="G175" s="376">
        <v>48.363999999999997</v>
      </c>
      <c r="H175" s="376">
        <v>45.752000000000002</v>
      </c>
      <c r="I175" s="376">
        <v>43.14</v>
      </c>
      <c r="J175" s="376">
        <v>40.29</v>
      </c>
      <c r="K175" s="376">
        <v>37.835999999999999</v>
      </c>
      <c r="L175" s="376">
        <v>32.612000000000002</v>
      </c>
      <c r="M175" s="376">
        <v>30.317</v>
      </c>
      <c r="N175" s="376">
        <v>26.359000000000002</v>
      </c>
      <c r="O175" s="376">
        <v>23.509</v>
      </c>
      <c r="P175" s="376">
        <v>19.077000000000002</v>
      </c>
      <c r="Q175" s="376">
        <v>14.565</v>
      </c>
      <c r="R175" s="376">
        <v>10.053000000000001</v>
      </c>
      <c r="S175" s="376">
        <v>4.8280000000000003</v>
      </c>
      <c r="T175" s="376">
        <v>1.504</v>
      </c>
      <c r="U175" s="373">
        <v>0</v>
      </c>
      <c r="V175" s="373">
        <v>0</v>
      </c>
      <c r="W175" s="373">
        <v>0</v>
      </c>
      <c r="X175" s="373">
        <v>0</v>
      </c>
      <c r="Y175" s="382">
        <v>0</v>
      </c>
    </row>
    <row r="176" spans="1:26" ht="13.5" thickBot="1" x14ac:dyDescent="0.25">
      <c r="A176" s="379" t="s">
        <v>119</v>
      </c>
      <c r="B176" s="374">
        <f t="shared" ref="B176:X176" si="39">(C175+B175)*(C174-B174)/2</f>
        <v>0.379554</v>
      </c>
      <c r="C176" s="375">
        <f t="shared" si="39"/>
        <v>2.0512380000000001</v>
      </c>
      <c r="D176" s="375">
        <f t="shared" si="39"/>
        <v>1.685538</v>
      </c>
      <c r="E176" s="375">
        <f t="shared" si="39"/>
        <v>3.5444320000000005</v>
      </c>
      <c r="F176" s="375">
        <f t="shared" si="39"/>
        <v>3.6873720000000003</v>
      </c>
      <c r="G176" s="375">
        <f t="shared" si="39"/>
        <v>6.1645979999999989</v>
      </c>
      <c r="H176" s="375">
        <f t="shared" si="39"/>
        <v>6.0446559999999998</v>
      </c>
      <c r="I176" s="375">
        <f t="shared" si="39"/>
        <v>6.5075400000000014</v>
      </c>
      <c r="J176" s="375">
        <f t="shared" si="39"/>
        <v>7.343843999999998</v>
      </c>
      <c r="K176" s="375">
        <f t="shared" si="39"/>
        <v>13.138552000000001</v>
      </c>
      <c r="L176" s="375">
        <f t="shared" si="39"/>
        <v>4.7826040000000045</v>
      </c>
      <c r="M176" s="375">
        <f t="shared" si="39"/>
        <v>4.8741359999999982</v>
      </c>
      <c r="N176" s="375">
        <f t="shared" si="39"/>
        <v>3.3660900000000002</v>
      </c>
      <c r="O176" s="375">
        <f t="shared" si="39"/>
        <v>3.9604979999999985</v>
      </c>
      <c r="P176" s="375">
        <f t="shared" si="39"/>
        <v>2.5567919999999988</v>
      </c>
      <c r="Q176" s="375">
        <f t="shared" si="39"/>
        <v>1.797113999999999</v>
      </c>
      <c r="R176" s="375">
        <f t="shared" si="39"/>
        <v>1.0639915000000018</v>
      </c>
      <c r="S176" s="375">
        <f t="shared" si="39"/>
        <v>0.50656000000000045</v>
      </c>
      <c r="T176" s="375">
        <f t="shared" si="39"/>
        <v>0.10227199999999975</v>
      </c>
      <c r="U176" s="375">
        <f t="shared" si="39"/>
        <v>0</v>
      </c>
      <c r="V176" s="375">
        <f t="shared" si="39"/>
        <v>0</v>
      </c>
      <c r="W176" s="375">
        <f t="shared" si="39"/>
        <v>0</v>
      </c>
      <c r="X176" s="375">
        <f t="shared" si="39"/>
        <v>0</v>
      </c>
      <c r="Y176" s="369"/>
    </row>
    <row r="177" spans="1:26" ht="13.5" thickBo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6" ht="13.5" thickBot="1" x14ac:dyDescent="0.25">
      <c r="A178" s="361" t="s">
        <v>331</v>
      </c>
      <c r="B178" s="359">
        <f>ROW(A178)</f>
        <v>178</v>
      </c>
      <c r="C178" s="363" t="s">
        <v>118</v>
      </c>
      <c r="D178" s="353">
        <f>SUM(B181:Y181)</f>
        <v>73.169517999999997</v>
      </c>
      <c r="E178" s="363" t="s">
        <v>117</v>
      </c>
      <c r="F178" s="354">
        <f>D178/g/J178</f>
        <v>177.58729673316827</v>
      </c>
      <c r="G178" s="363" t="s">
        <v>59</v>
      </c>
      <c r="H178" s="64">
        <v>9.6000000000000002E-2</v>
      </c>
      <c r="I178" s="363" t="s">
        <v>276</v>
      </c>
      <c r="J178" s="355">
        <f>H178-L178</f>
        <v>4.2000000000000003E-2</v>
      </c>
      <c r="K178" s="363" t="s">
        <v>277</v>
      </c>
      <c r="L178" s="64">
        <v>5.3999999999999999E-2</v>
      </c>
      <c r="M178" s="363" t="s">
        <v>60</v>
      </c>
      <c r="N178" s="396">
        <v>66.5</v>
      </c>
      <c r="O178" s="363" t="s">
        <v>62</v>
      </c>
      <c r="P178" s="396">
        <v>66.5</v>
      </c>
      <c r="Q178" s="363" t="s">
        <v>63</v>
      </c>
      <c r="R178" s="65">
        <v>133</v>
      </c>
      <c r="S178" s="363" t="s">
        <v>64</v>
      </c>
      <c r="T178" s="65">
        <v>24</v>
      </c>
      <c r="U178" s="363" t="s">
        <v>57</v>
      </c>
      <c r="V178" s="66" t="s">
        <v>405</v>
      </c>
      <c r="W178" s="463" t="s">
        <v>400</v>
      </c>
      <c r="X178" s="465">
        <v>0.87</v>
      </c>
      <c r="Y178" s="463" t="s">
        <v>399</v>
      </c>
      <c r="Z178" s="358">
        <v>15</v>
      </c>
    </row>
    <row r="179" spans="1:26" x14ac:dyDescent="0.2">
      <c r="A179" s="362" t="s">
        <v>33</v>
      </c>
      <c r="B179" s="370">
        <v>0</v>
      </c>
      <c r="C179" s="371">
        <v>0.01</v>
      </c>
      <c r="D179" s="371">
        <v>2.3E-2</v>
      </c>
      <c r="E179" s="371">
        <v>0.04</v>
      </c>
      <c r="F179" s="371">
        <v>0.11799999999999999</v>
      </c>
      <c r="G179" s="371">
        <v>0.28299999999999997</v>
      </c>
      <c r="H179" s="371">
        <v>0.51</v>
      </c>
      <c r="I179" s="371">
        <v>0.68799999999999994</v>
      </c>
      <c r="J179" s="371">
        <v>0.78700000000000003</v>
      </c>
      <c r="K179" s="371">
        <v>0.85199999999999998</v>
      </c>
      <c r="L179" s="371">
        <v>0.873</v>
      </c>
      <c r="M179" s="371">
        <v>0.873</v>
      </c>
      <c r="N179" s="371">
        <v>0.873</v>
      </c>
      <c r="O179" s="371">
        <v>0.873</v>
      </c>
      <c r="P179" s="371">
        <v>0.873</v>
      </c>
      <c r="Q179" s="371">
        <v>0.873</v>
      </c>
      <c r="R179" s="371">
        <v>0.873</v>
      </c>
      <c r="S179" s="371">
        <v>0.873</v>
      </c>
      <c r="T179" s="371">
        <v>0.873</v>
      </c>
      <c r="U179" s="371">
        <v>0.873</v>
      </c>
      <c r="V179" s="371">
        <v>0.873</v>
      </c>
      <c r="W179" s="371">
        <v>0.873</v>
      </c>
      <c r="X179" s="371">
        <v>2</v>
      </c>
      <c r="Y179" s="381">
        <v>1000</v>
      </c>
    </row>
    <row r="180" spans="1:26" x14ac:dyDescent="0.2">
      <c r="A180" s="378" t="s">
        <v>34</v>
      </c>
      <c r="B180" s="372">
        <v>0</v>
      </c>
      <c r="C180" s="376">
        <v>76.073999999999998</v>
      </c>
      <c r="D180" s="376">
        <v>100.185</v>
      </c>
      <c r="E180" s="376">
        <v>92.424999999999997</v>
      </c>
      <c r="F180" s="376">
        <v>100.878</v>
      </c>
      <c r="G180" s="376">
        <v>102.402</v>
      </c>
      <c r="H180" s="376">
        <v>96.442999999999998</v>
      </c>
      <c r="I180" s="376">
        <v>87.436000000000007</v>
      </c>
      <c r="J180" s="376">
        <v>25.911999999999999</v>
      </c>
      <c r="K180" s="376">
        <v>7.2060000000000004</v>
      </c>
      <c r="L180" s="373">
        <v>0</v>
      </c>
      <c r="M180" s="373">
        <v>0</v>
      </c>
      <c r="N180" s="373">
        <v>0</v>
      </c>
      <c r="O180" s="373">
        <v>0</v>
      </c>
      <c r="P180" s="373">
        <v>0</v>
      </c>
      <c r="Q180" s="373">
        <v>0</v>
      </c>
      <c r="R180" s="373">
        <v>0</v>
      </c>
      <c r="S180" s="373">
        <v>0</v>
      </c>
      <c r="T180" s="373">
        <v>0</v>
      </c>
      <c r="U180" s="373">
        <v>0</v>
      </c>
      <c r="V180" s="373">
        <v>0</v>
      </c>
      <c r="W180" s="373">
        <v>0</v>
      </c>
      <c r="X180" s="373">
        <v>0</v>
      </c>
      <c r="Y180" s="382">
        <v>0</v>
      </c>
    </row>
    <row r="181" spans="1:26" ht="13.5" thickBot="1" x14ac:dyDescent="0.25">
      <c r="A181" s="379" t="s">
        <v>119</v>
      </c>
      <c r="B181" s="374">
        <f t="shared" ref="B181:X181" si="40">(C180+B180)*(C179-B179)/2</f>
        <v>0.38036999999999999</v>
      </c>
      <c r="C181" s="375">
        <f t="shared" si="40"/>
        <v>1.1456835000000001</v>
      </c>
      <c r="D181" s="375">
        <f t="shared" si="40"/>
        <v>1.6371850000000003</v>
      </c>
      <c r="E181" s="375">
        <f t="shared" si="40"/>
        <v>7.5388169999999981</v>
      </c>
      <c r="F181" s="375">
        <f t="shared" si="40"/>
        <v>16.770599999999998</v>
      </c>
      <c r="G181" s="375">
        <f t="shared" si="40"/>
        <v>22.568907500000002</v>
      </c>
      <c r="H181" s="375">
        <f t="shared" si="40"/>
        <v>16.365230999999994</v>
      </c>
      <c r="I181" s="375">
        <f t="shared" si="40"/>
        <v>5.6107260000000059</v>
      </c>
      <c r="J181" s="375">
        <f t="shared" si="40"/>
        <v>1.0763349999999992</v>
      </c>
      <c r="K181" s="375">
        <f t="shared" si="40"/>
        <v>7.5663000000000077E-2</v>
      </c>
      <c r="L181" s="375">
        <f t="shared" si="40"/>
        <v>0</v>
      </c>
      <c r="M181" s="375">
        <f t="shared" si="40"/>
        <v>0</v>
      </c>
      <c r="N181" s="375">
        <f t="shared" si="40"/>
        <v>0</v>
      </c>
      <c r="O181" s="375">
        <f t="shared" si="40"/>
        <v>0</v>
      </c>
      <c r="P181" s="375">
        <f t="shared" si="40"/>
        <v>0</v>
      </c>
      <c r="Q181" s="375">
        <f t="shared" si="40"/>
        <v>0</v>
      </c>
      <c r="R181" s="375">
        <f t="shared" si="40"/>
        <v>0</v>
      </c>
      <c r="S181" s="375">
        <f t="shared" si="40"/>
        <v>0</v>
      </c>
      <c r="T181" s="375">
        <f t="shared" si="40"/>
        <v>0</v>
      </c>
      <c r="U181" s="375">
        <f t="shared" si="40"/>
        <v>0</v>
      </c>
      <c r="V181" s="375">
        <f t="shared" si="40"/>
        <v>0</v>
      </c>
      <c r="W181" s="375">
        <f t="shared" si="40"/>
        <v>0</v>
      </c>
      <c r="X181" s="375">
        <f t="shared" si="40"/>
        <v>0</v>
      </c>
      <c r="Y181" s="369"/>
    </row>
    <row r="182" spans="1:26" ht="13.5" thickBo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6" ht="13.5" thickBot="1" x14ac:dyDescent="0.25">
      <c r="A183" s="361" t="s">
        <v>332</v>
      </c>
      <c r="B183" s="359">
        <f>ROW(A183)</f>
        <v>183</v>
      </c>
      <c r="C183" s="363" t="s">
        <v>118</v>
      </c>
      <c r="D183" s="353">
        <f>SUM(B186:Y186)</f>
        <v>75.254384000000016</v>
      </c>
      <c r="E183" s="363" t="s">
        <v>117</v>
      </c>
      <c r="F183" s="354">
        <f>D183/g/J183</f>
        <v>232.46033422914161</v>
      </c>
      <c r="G183" s="363" t="s">
        <v>59</v>
      </c>
      <c r="H183" s="64">
        <v>9.5000000000000001E-2</v>
      </c>
      <c r="I183" s="363" t="s">
        <v>276</v>
      </c>
      <c r="J183" s="355">
        <f>H183-L183</f>
        <v>3.3000000000000002E-2</v>
      </c>
      <c r="K183" s="363" t="s">
        <v>277</v>
      </c>
      <c r="L183" s="64">
        <f>0.095-0.033</f>
        <v>6.2E-2</v>
      </c>
      <c r="M183" s="363" t="s">
        <v>60</v>
      </c>
      <c r="N183" s="396">
        <v>66.5</v>
      </c>
      <c r="O183" s="363" t="s">
        <v>62</v>
      </c>
      <c r="P183" s="396">
        <v>66.5</v>
      </c>
      <c r="Q183" s="363" t="s">
        <v>63</v>
      </c>
      <c r="R183" s="65">
        <v>133</v>
      </c>
      <c r="S183" s="363" t="s">
        <v>64</v>
      </c>
      <c r="T183" s="65">
        <v>24</v>
      </c>
      <c r="U183" s="363" t="s">
        <v>57</v>
      </c>
      <c r="V183" s="66" t="s">
        <v>405</v>
      </c>
      <c r="W183" s="463" t="s">
        <v>400</v>
      </c>
      <c r="X183" s="465">
        <v>1.5</v>
      </c>
      <c r="Y183" s="463" t="s">
        <v>399</v>
      </c>
      <c r="Z183" s="358">
        <v>12</v>
      </c>
    </row>
    <row r="184" spans="1:26" x14ac:dyDescent="0.2">
      <c r="A184" s="362" t="s">
        <v>33</v>
      </c>
      <c r="B184" s="370">
        <v>0</v>
      </c>
      <c r="C184" s="371">
        <v>0.02</v>
      </c>
      <c r="D184" s="371">
        <v>3.1E-2</v>
      </c>
      <c r="E184" s="371">
        <v>6.2E-2</v>
      </c>
      <c r="F184" s="371">
        <v>0.11700000000000001</v>
      </c>
      <c r="G184" s="371">
        <v>1.2110000000000001</v>
      </c>
      <c r="H184" s="371">
        <v>1.3759999999999999</v>
      </c>
      <c r="I184" s="371">
        <v>1.456</v>
      </c>
      <c r="J184" s="371">
        <v>1.532</v>
      </c>
      <c r="K184" s="371">
        <v>1.577</v>
      </c>
      <c r="L184" s="371">
        <v>2</v>
      </c>
      <c r="M184" s="371">
        <v>2</v>
      </c>
      <c r="N184" s="371">
        <v>2</v>
      </c>
      <c r="O184" s="371">
        <v>2</v>
      </c>
      <c r="P184" s="371">
        <v>2</v>
      </c>
      <c r="Q184" s="371">
        <v>2</v>
      </c>
      <c r="R184" s="371">
        <v>2</v>
      </c>
      <c r="S184" s="371">
        <v>2</v>
      </c>
      <c r="T184" s="371">
        <v>2</v>
      </c>
      <c r="U184" s="371">
        <v>2</v>
      </c>
      <c r="V184" s="371">
        <v>2</v>
      </c>
      <c r="W184" s="371">
        <v>2</v>
      </c>
      <c r="X184" s="371">
        <f t="shared" ref="T184:X185" si="41">W184</f>
        <v>2</v>
      </c>
      <c r="Y184" s="381">
        <v>1000</v>
      </c>
    </row>
    <row r="185" spans="1:26" x14ac:dyDescent="0.2">
      <c r="A185" s="378" t="s">
        <v>34</v>
      </c>
      <c r="B185" s="372">
        <v>0</v>
      </c>
      <c r="C185" s="373">
        <v>75.924000000000007</v>
      </c>
      <c r="D185" s="373">
        <v>84.147999999999996</v>
      </c>
      <c r="E185" s="373">
        <v>70.441000000000003</v>
      </c>
      <c r="F185" s="373">
        <v>73.659000000000006</v>
      </c>
      <c r="G185" s="373">
        <v>38.737000000000002</v>
      </c>
      <c r="H185" s="373">
        <v>14.779</v>
      </c>
      <c r="I185" s="373">
        <v>7.2709999999999999</v>
      </c>
      <c r="J185" s="373">
        <v>3.3370000000000002</v>
      </c>
      <c r="K185" s="373">
        <v>0</v>
      </c>
      <c r="L185" s="373">
        <v>0</v>
      </c>
      <c r="M185" s="373">
        <v>0</v>
      </c>
      <c r="N185" s="373">
        <v>0</v>
      </c>
      <c r="O185" s="373">
        <v>0</v>
      </c>
      <c r="P185" s="373">
        <v>0</v>
      </c>
      <c r="Q185" s="373">
        <v>0</v>
      </c>
      <c r="R185" s="373">
        <v>0</v>
      </c>
      <c r="S185" s="373">
        <v>0</v>
      </c>
      <c r="T185" s="373">
        <f t="shared" si="41"/>
        <v>0</v>
      </c>
      <c r="U185" s="373">
        <f t="shared" si="41"/>
        <v>0</v>
      </c>
      <c r="V185" s="373">
        <f t="shared" si="41"/>
        <v>0</v>
      </c>
      <c r="W185" s="373">
        <f t="shared" si="41"/>
        <v>0</v>
      </c>
      <c r="X185" s="373">
        <f t="shared" si="41"/>
        <v>0</v>
      </c>
      <c r="Y185" s="382">
        <v>0</v>
      </c>
    </row>
    <row r="186" spans="1:26" ht="13.5" thickBot="1" x14ac:dyDescent="0.25">
      <c r="A186" s="379" t="s">
        <v>119</v>
      </c>
      <c r="B186" s="374">
        <f t="shared" ref="B186:V186" si="42">(C185+B185)*(C184-B184)/2</f>
        <v>0.75924000000000014</v>
      </c>
      <c r="C186" s="375">
        <f t="shared" si="42"/>
        <v>0.88039599999999996</v>
      </c>
      <c r="D186" s="375">
        <f t="shared" si="42"/>
        <v>2.3961294999999998</v>
      </c>
      <c r="E186" s="375">
        <f t="shared" si="42"/>
        <v>3.9627500000000011</v>
      </c>
      <c r="F186" s="375">
        <f t="shared" si="42"/>
        <v>61.480612000000015</v>
      </c>
      <c r="G186" s="375">
        <f t="shared" si="42"/>
        <v>4.4150699999999956</v>
      </c>
      <c r="H186" s="375">
        <f t="shared" si="42"/>
        <v>0.88200000000000078</v>
      </c>
      <c r="I186" s="375">
        <f t="shared" si="42"/>
        <v>0.40310400000000035</v>
      </c>
      <c r="J186" s="375">
        <f>(K185+J185)*(K184-J184)/2</f>
        <v>7.5082499999999885E-2</v>
      </c>
      <c r="K186" s="375">
        <f t="shared" si="42"/>
        <v>0</v>
      </c>
      <c r="L186" s="375">
        <f t="shared" si="42"/>
        <v>0</v>
      </c>
      <c r="M186" s="375">
        <f t="shared" si="42"/>
        <v>0</v>
      </c>
      <c r="N186" s="375">
        <f t="shared" si="42"/>
        <v>0</v>
      </c>
      <c r="O186" s="375">
        <f t="shared" si="42"/>
        <v>0</v>
      </c>
      <c r="P186" s="375">
        <f t="shared" si="42"/>
        <v>0</v>
      </c>
      <c r="Q186" s="375">
        <f t="shared" si="42"/>
        <v>0</v>
      </c>
      <c r="R186" s="375">
        <f t="shared" si="42"/>
        <v>0</v>
      </c>
      <c r="S186" s="375">
        <f>(T185+S185)*(T184-S184)/2</f>
        <v>0</v>
      </c>
      <c r="T186" s="375">
        <f t="shared" si="42"/>
        <v>0</v>
      </c>
      <c r="U186" s="375">
        <f t="shared" si="42"/>
        <v>0</v>
      </c>
      <c r="V186" s="375">
        <f t="shared" si="42"/>
        <v>0</v>
      </c>
      <c r="W186" s="375">
        <f>(X185+W185)*(X184-W184)/2</f>
        <v>0</v>
      </c>
      <c r="X186" s="375">
        <f>(Y185+X185)*(Y184-X184)/2</f>
        <v>0</v>
      </c>
      <c r="Y186" s="369"/>
    </row>
    <row r="187" spans="1:26" ht="13.5" thickBot="1" x14ac:dyDescent="0.25">
      <c r="A187" s="6" t="s">
        <v>379</v>
      </c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6" ht="13.5" thickBot="1" x14ac:dyDescent="0.25">
      <c r="A188" s="361" t="s">
        <v>542</v>
      </c>
      <c r="B188" s="359">
        <f>ROW(A188)</f>
        <v>188</v>
      </c>
      <c r="C188" s="363" t="s">
        <v>118</v>
      </c>
      <c r="D188" s="353">
        <f>SUM(B191:Y191)</f>
        <v>141.04999999999998</v>
      </c>
      <c r="E188" s="363" t="s">
        <v>117</v>
      </c>
      <c r="F188" s="354">
        <f>D188/g/J188</f>
        <v>186.24592648930721</v>
      </c>
      <c r="G188" s="363" t="s">
        <v>59</v>
      </c>
      <c r="H188" s="64">
        <v>0.16189999999999999</v>
      </c>
      <c r="I188" s="363" t="s">
        <v>276</v>
      </c>
      <c r="J188" s="355">
        <f>H188-L188</f>
        <v>7.7199999999999991E-2</v>
      </c>
      <c r="K188" s="363" t="s">
        <v>277</v>
      </c>
      <c r="L188" s="64">
        <v>8.4699999999999998E-2</v>
      </c>
      <c r="M188" s="363" t="s">
        <v>60</v>
      </c>
      <c r="N188" s="65">
        <v>114</v>
      </c>
      <c r="O188" s="363" t="s">
        <v>62</v>
      </c>
      <c r="P188" s="65">
        <v>114</v>
      </c>
      <c r="Q188" s="363" t="s">
        <v>63</v>
      </c>
      <c r="R188" s="65">
        <v>228</v>
      </c>
      <c r="S188" s="363" t="s">
        <v>64</v>
      </c>
      <c r="T188" s="65">
        <v>24</v>
      </c>
      <c r="U188" s="363" t="s">
        <v>57</v>
      </c>
      <c r="V188" s="66" t="s">
        <v>122</v>
      </c>
      <c r="W188" s="463" t="s">
        <v>400</v>
      </c>
      <c r="X188" s="465">
        <v>0.96</v>
      </c>
      <c r="Y188" s="463" t="s">
        <v>399</v>
      </c>
      <c r="Z188" s="358">
        <v>15</v>
      </c>
    </row>
    <row r="189" spans="1:26" x14ac:dyDescent="0.2">
      <c r="A189" s="362" t="s">
        <v>33</v>
      </c>
      <c r="B189" s="370">
        <v>0</v>
      </c>
      <c r="C189" s="371">
        <v>0.02</v>
      </c>
      <c r="D189" s="371">
        <v>0.03</v>
      </c>
      <c r="E189" s="371">
        <v>0.05</v>
      </c>
      <c r="F189" s="371">
        <v>0.6</v>
      </c>
      <c r="G189" s="371">
        <v>0.67</v>
      </c>
      <c r="H189" s="371">
        <v>0.7</v>
      </c>
      <c r="I189" s="371">
        <v>0.8</v>
      </c>
      <c r="J189" s="371">
        <v>0.9</v>
      </c>
      <c r="K189" s="371">
        <v>1.05</v>
      </c>
      <c r="L189" s="371">
        <f t="shared" ref="L189:W189" si="43">K189</f>
        <v>1.05</v>
      </c>
      <c r="M189" s="371">
        <f t="shared" si="43"/>
        <v>1.05</v>
      </c>
      <c r="N189" s="371">
        <f t="shared" si="43"/>
        <v>1.05</v>
      </c>
      <c r="O189" s="371">
        <f t="shared" si="43"/>
        <v>1.05</v>
      </c>
      <c r="P189" s="371">
        <f t="shared" si="43"/>
        <v>1.05</v>
      </c>
      <c r="Q189" s="371">
        <f t="shared" si="43"/>
        <v>1.05</v>
      </c>
      <c r="R189" s="371">
        <f t="shared" si="43"/>
        <v>1.05</v>
      </c>
      <c r="S189" s="371">
        <f t="shared" si="43"/>
        <v>1.05</v>
      </c>
      <c r="T189" s="371">
        <f t="shared" si="43"/>
        <v>1.05</v>
      </c>
      <c r="U189" s="371">
        <f t="shared" si="43"/>
        <v>1.05</v>
      </c>
      <c r="V189" s="371">
        <f t="shared" si="43"/>
        <v>1.05</v>
      </c>
      <c r="W189" s="371">
        <f t="shared" si="43"/>
        <v>1.05</v>
      </c>
      <c r="X189" s="371">
        <v>2</v>
      </c>
      <c r="Y189" s="381">
        <v>1000</v>
      </c>
    </row>
    <row r="190" spans="1:26" x14ac:dyDescent="0.2">
      <c r="A190" s="378" t="s">
        <v>34</v>
      </c>
      <c r="B190" s="372">
        <v>0</v>
      </c>
      <c r="C190" s="373">
        <v>350</v>
      </c>
      <c r="D190" s="373">
        <v>250</v>
      </c>
      <c r="E190" s="373">
        <v>210</v>
      </c>
      <c r="F190" s="373">
        <v>150</v>
      </c>
      <c r="G190" s="373">
        <v>140</v>
      </c>
      <c r="H190" s="373">
        <v>130</v>
      </c>
      <c r="I190" s="373">
        <v>65</v>
      </c>
      <c r="J190" s="373">
        <v>30</v>
      </c>
      <c r="K190" s="373">
        <v>0</v>
      </c>
      <c r="L190" s="373">
        <v>0</v>
      </c>
      <c r="M190" s="373">
        <v>0</v>
      </c>
      <c r="N190" s="373">
        <v>0</v>
      </c>
      <c r="O190" s="373">
        <v>0</v>
      </c>
      <c r="P190" s="373">
        <v>0</v>
      </c>
      <c r="Q190" s="373">
        <v>0</v>
      </c>
      <c r="R190" s="373">
        <v>0</v>
      </c>
      <c r="S190" s="373">
        <f t="shared" ref="S190:X190" si="44">R190</f>
        <v>0</v>
      </c>
      <c r="T190" s="373">
        <f t="shared" si="44"/>
        <v>0</v>
      </c>
      <c r="U190" s="373">
        <f t="shared" si="44"/>
        <v>0</v>
      </c>
      <c r="V190" s="373">
        <f t="shared" si="44"/>
        <v>0</v>
      </c>
      <c r="W190" s="373">
        <f t="shared" si="44"/>
        <v>0</v>
      </c>
      <c r="X190" s="373">
        <f t="shared" si="44"/>
        <v>0</v>
      </c>
      <c r="Y190" s="382">
        <v>0</v>
      </c>
    </row>
    <row r="191" spans="1:26" ht="13.5" thickBot="1" x14ac:dyDescent="0.25">
      <c r="A191" s="379" t="s">
        <v>119</v>
      </c>
      <c r="B191" s="374">
        <f t="shared" ref="B191:X191" si="45">(C190+B190)*(C189-B189)/2</f>
        <v>3.5</v>
      </c>
      <c r="C191" s="375">
        <f t="shared" si="45"/>
        <v>2.9999999999999996</v>
      </c>
      <c r="D191" s="375">
        <f t="shared" si="45"/>
        <v>4.6000000000000005</v>
      </c>
      <c r="E191" s="375">
        <f t="shared" si="45"/>
        <v>98.999999999999986</v>
      </c>
      <c r="F191" s="375">
        <f t="shared" si="45"/>
        <v>10.150000000000009</v>
      </c>
      <c r="G191" s="375">
        <f t="shared" si="45"/>
        <v>4.0499999999999883</v>
      </c>
      <c r="H191" s="375">
        <f t="shared" si="45"/>
        <v>9.7500000000000089</v>
      </c>
      <c r="I191" s="375">
        <f t="shared" si="45"/>
        <v>4.7499999999999991</v>
      </c>
      <c r="J191" s="375">
        <f t="shared" si="45"/>
        <v>2.2500000000000004</v>
      </c>
      <c r="K191" s="375">
        <f t="shared" si="45"/>
        <v>0</v>
      </c>
      <c r="L191" s="375">
        <f t="shared" si="45"/>
        <v>0</v>
      </c>
      <c r="M191" s="375">
        <f t="shared" si="45"/>
        <v>0</v>
      </c>
      <c r="N191" s="375">
        <f t="shared" si="45"/>
        <v>0</v>
      </c>
      <c r="O191" s="375">
        <f t="shared" si="45"/>
        <v>0</v>
      </c>
      <c r="P191" s="375">
        <f t="shared" si="45"/>
        <v>0</v>
      </c>
      <c r="Q191" s="375">
        <f t="shared" si="45"/>
        <v>0</v>
      </c>
      <c r="R191" s="375">
        <f t="shared" si="45"/>
        <v>0</v>
      </c>
      <c r="S191" s="375">
        <f t="shared" si="45"/>
        <v>0</v>
      </c>
      <c r="T191" s="375">
        <f t="shared" si="45"/>
        <v>0</v>
      </c>
      <c r="U191" s="375">
        <f t="shared" si="45"/>
        <v>0</v>
      </c>
      <c r="V191" s="375">
        <f t="shared" si="45"/>
        <v>0</v>
      </c>
      <c r="W191" s="375">
        <f t="shared" si="45"/>
        <v>0</v>
      </c>
      <c r="X191" s="375">
        <f t="shared" si="45"/>
        <v>0</v>
      </c>
      <c r="Y191" s="369"/>
    </row>
    <row r="192" spans="1:26" ht="13.5" thickBot="1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6" ht="13.5" thickBot="1" x14ac:dyDescent="0.25">
      <c r="A193" s="361" t="s">
        <v>549</v>
      </c>
      <c r="B193" s="359">
        <f>ROW(A193)</f>
        <v>193</v>
      </c>
      <c r="C193" s="363" t="s">
        <v>118</v>
      </c>
      <c r="D193" s="353">
        <f>SUM(B196:Y196)</f>
        <v>142.44</v>
      </c>
      <c r="E193" s="363" t="s">
        <v>117</v>
      </c>
      <c r="F193" s="354">
        <f>D193/g/J193</f>
        <v>192.06187401906058</v>
      </c>
      <c r="G193" s="363" t="s">
        <v>59</v>
      </c>
      <c r="H193" s="64">
        <v>0.15989999999999999</v>
      </c>
      <c r="I193" s="363" t="s">
        <v>276</v>
      </c>
      <c r="J193" s="355">
        <f>H193-L193</f>
        <v>7.5599999999999987E-2</v>
      </c>
      <c r="K193" s="363" t="s">
        <v>277</v>
      </c>
      <c r="L193" s="64">
        <v>8.43E-2</v>
      </c>
      <c r="M193" s="363" t="s">
        <v>60</v>
      </c>
      <c r="N193" s="65">
        <v>114</v>
      </c>
      <c r="O193" s="363" t="s">
        <v>62</v>
      </c>
      <c r="P193" s="65">
        <v>114</v>
      </c>
      <c r="Q193" s="363" t="s">
        <v>63</v>
      </c>
      <c r="R193" s="65">
        <v>228</v>
      </c>
      <c r="S193" s="363" t="s">
        <v>64</v>
      </c>
      <c r="T193" s="65">
        <v>24</v>
      </c>
      <c r="U193" s="363" t="s">
        <v>57</v>
      </c>
      <c r="V193" s="66" t="s">
        <v>407</v>
      </c>
      <c r="W193" s="463" t="s">
        <v>400</v>
      </c>
      <c r="X193" s="465">
        <v>0.97</v>
      </c>
      <c r="Y193" s="463" t="s">
        <v>399</v>
      </c>
      <c r="Z193" s="358">
        <v>13</v>
      </c>
    </row>
    <row r="194" spans="1:26" x14ac:dyDescent="0.2">
      <c r="A194" s="362" t="s">
        <v>33</v>
      </c>
      <c r="B194" s="370">
        <v>0</v>
      </c>
      <c r="C194" s="371">
        <v>0.02</v>
      </c>
      <c r="D194" s="371">
        <v>0.04</v>
      </c>
      <c r="E194" s="371">
        <v>0.62</v>
      </c>
      <c r="F194" s="371">
        <v>0.66</v>
      </c>
      <c r="G194" s="371">
        <v>0.68</v>
      </c>
      <c r="H194" s="371">
        <v>0.8</v>
      </c>
      <c r="I194" s="371">
        <v>0.84</v>
      </c>
      <c r="J194" s="371">
        <v>0.88</v>
      </c>
      <c r="K194" s="371">
        <v>0.92</v>
      </c>
      <c r="L194" s="371">
        <v>0.96</v>
      </c>
      <c r="M194" s="371">
        <v>1</v>
      </c>
      <c r="N194" s="371">
        <v>1.08</v>
      </c>
      <c r="O194" s="371">
        <v>2</v>
      </c>
      <c r="P194" s="371">
        <v>2</v>
      </c>
      <c r="Q194" s="371">
        <v>2</v>
      </c>
      <c r="R194" s="371">
        <v>2</v>
      </c>
      <c r="S194" s="371">
        <f t="shared" ref="S194:X195" si="46">R194</f>
        <v>2</v>
      </c>
      <c r="T194" s="371">
        <f t="shared" si="46"/>
        <v>2</v>
      </c>
      <c r="U194" s="371">
        <f t="shared" si="46"/>
        <v>2</v>
      </c>
      <c r="V194" s="371">
        <f t="shared" si="46"/>
        <v>2</v>
      </c>
      <c r="W194" s="371">
        <f t="shared" si="46"/>
        <v>2</v>
      </c>
      <c r="X194" s="371">
        <f t="shared" si="46"/>
        <v>2</v>
      </c>
      <c r="Y194" s="381">
        <v>1000</v>
      </c>
    </row>
    <row r="195" spans="1:26" x14ac:dyDescent="0.2">
      <c r="A195" s="378" t="s">
        <v>34</v>
      </c>
      <c r="B195" s="372">
        <v>0</v>
      </c>
      <c r="C195" s="373">
        <v>250</v>
      </c>
      <c r="D195" s="373">
        <v>210</v>
      </c>
      <c r="E195" s="373">
        <v>160</v>
      </c>
      <c r="F195" s="373">
        <v>150</v>
      </c>
      <c r="G195" s="373">
        <v>142</v>
      </c>
      <c r="H195" s="373">
        <v>62</v>
      </c>
      <c r="I195" s="373">
        <v>48</v>
      </c>
      <c r="J195" s="373">
        <v>34</v>
      </c>
      <c r="K195" s="373">
        <v>24</v>
      </c>
      <c r="L195" s="373">
        <v>15</v>
      </c>
      <c r="M195" s="373">
        <v>10</v>
      </c>
      <c r="N195" s="373">
        <v>0</v>
      </c>
      <c r="O195" s="373">
        <v>0</v>
      </c>
      <c r="P195" s="373">
        <v>0</v>
      </c>
      <c r="Q195" s="373">
        <v>0</v>
      </c>
      <c r="R195" s="373">
        <v>0</v>
      </c>
      <c r="S195" s="373">
        <f t="shared" si="46"/>
        <v>0</v>
      </c>
      <c r="T195" s="373">
        <f t="shared" si="46"/>
        <v>0</v>
      </c>
      <c r="U195" s="373">
        <f t="shared" si="46"/>
        <v>0</v>
      </c>
      <c r="V195" s="373">
        <f t="shared" si="46"/>
        <v>0</v>
      </c>
      <c r="W195" s="373">
        <f t="shared" si="46"/>
        <v>0</v>
      </c>
      <c r="X195" s="373">
        <f t="shared" si="46"/>
        <v>0</v>
      </c>
      <c r="Y195" s="382">
        <v>0</v>
      </c>
    </row>
    <row r="196" spans="1:26" ht="13.5" thickBot="1" x14ac:dyDescent="0.25">
      <c r="A196" s="379" t="s">
        <v>119</v>
      </c>
      <c r="B196" s="374">
        <f t="shared" ref="B196:X196" si="47">(C195+B195)*(C194-B194)/2</f>
        <v>2.5</v>
      </c>
      <c r="C196" s="375">
        <f t="shared" si="47"/>
        <v>4.6000000000000005</v>
      </c>
      <c r="D196" s="375">
        <f t="shared" si="47"/>
        <v>107.3</v>
      </c>
      <c r="E196" s="375">
        <f t="shared" si="47"/>
        <v>6.2000000000000055</v>
      </c>
      <c r="F196" s="375">
        <f t="shared" si="47"/>
        <v>2.9200000000000026</v>
      </c>
      <c r="G196" s="375">
        <f t="shared" si="47"/>
        <v>12.24</v>
      </c>
      <c r="H196" s="375">
        <f t="shared" si="47"/>
        <v>2.1999999999999957</v>
      </c>
      <c r="I196" s="375">
        <f t="shared" si="47"/>
        <v>1.6400000000000015</v>
      </c>
      <c r="J196" s="375">
        <f t="shared" si="47"/>
        <v>1.160000000000001</v>
      </c>
      <c r="K196" s="375">
        <f t="shared" si="47"/>
        <v>0.77999999999999847</v>
      </c>
      <c r="L196" s="375">
        <f t="shared" si="47"/>
        <v>0.50000000000000044</v>
      </c>
      <c r="M196" s="375">
        <f t="shared" si="47"/>
        <v>0.40000000000000036</v>
      </c>
      <c r="N196" s="375">
        <f t="shared" si="47"/>
        <v>0</v>
      </c>
      <c r="O196" s="375">
        <f t="shared" si="47"/>
        <v>0</v>
      </c>
      <c r="P196" s="375">
        <f t="shared" si="47"/>
        <v>0</v>
      </c>
      <c r="Q196" s="375">
        <f t="shared" si="47"/>
        <v>0</v>
      </c>
      <c r="R196" s="375">
        <f t="shared" si="47"/>
        <v>0</v>
      </c>
      <c r="S196" s="375">
        <f t="shared" si="47"/>
        <v>0</v>
      </c>
      <c r="T196" s="375">
        <f t="shared" si="47"/>
        <v>0</v>
      </c>
      <c r="U196" s="375">
        <f t="shared" si="47"/>
        <v>0</v>
      </c>
      <c r="V196" s="375">
        <f t="shared" si="47"/>
        <v>0</v>
      </c>
      <c r="W196" s="375">
        <f t="shared" si="47"/>
        <v>0</v>
      </c>
      <c r="X196" s="375">
        <f t="shared" si="47"/>
        <v>0</v>
      </c>
      <c r="Y196" s="369"/>
    </row>
    <row r="197" spans="1:26" ht="13.5" thickBot="1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6" ht="13.5" thickBot="1" x14ac:dyDescent="0.25">
      <c r="A198" s="361" t="s">
        <v>544</v>
      </c>
      <c r="B198" s="359">
        <f>ROW(A198)</f>
        <v>198</v>
      </c>
      <c r="C198" s="363" t="s">
        <v>118</v>
      </c>
      <c r="D198" s="353">
        <f>SUM(B201:Y201)</f>
        <v>143.08845000000002</v>
      </c>
      <c r="E198" s="363" t="s">
        <v>117</v>
      </c>
      <c r="F198" s="354">
        <f>D198/g/J198</f>
        <v>168.23504721190514</v>
      </c>
      <c r="G198" s="363" t="s">
        <v>59</v>
      </c>
      <c r="H198" s="64">
        <v>0.17249999999999999</v>
      </c>
      <c r="I198" s="363" t="s">
        <v>276</v>
      </c>
      <c r="J198" s="355">
        <f>H198-L198</f>
        <v>8.6699999999999985E-2</v>
      </c>
      <c r="K198" s="363" t="s">
        <v>277</v>
      </c>
      <c r="L198" s="64">
        <v>8.5800000000000001E-2</v>
      </c>
      <c r="M198" s="363" t="s">
        <v>60</v>
      </c>
      <c r="N198" s="65">
        <v>114</v>
      </c>
      <c r="O198" s="363" t="s">
        <v>62</v>
      </c>
      <c r="P198" s="65">
        <v>114</v>
      </c>
      <c r="Q198" s="363" t="s">
        <v>63</v>
      </c>
      <c r="R198" s="65">
        <v>228</v>
      </c>
      <c r="S198" s="363" t="s">
        <v>64</v>
      </c>
      <c r="T198" s="65">
        <v>24</v>
      </c>
      <c r="U198" s="363" t="s">
        <v>57</v>
      </c>
      <c r="V198" s="66" t="s">
        <v>122</v>
      </c>
      <c r="W198" s="463" t="s">
        <v>400</v>
      </c>
      <c r="X198" s="465">
        <v>0.97</v>
      </c>
      <c r="Y198" s="463" t="s">
        <v>399</v>
      </c>
      <c r="Z198" s="358">
        <v>11</v>
      </c>
    </row>
    <row r="199" spans="1:26" x14ac:dyDescent="0.2">
      <c r="A199" s="362" t="s">
        <v>33</v>
      </c>
      <c r="B199" s="370">
        <v>0</v>
      </c>
      <c r="C199" s="371">
        <v>8.0000000000000002E-3</v>
      </c>
      <c r="D199" s="371">
        <v>1.2999999999999999E-2</v>
      </c>
      <c r="E199" s="371">
        <v>2.1999999999999999E-2</v>
      </c>
      <c r="F199" s="371">
        <v>3.5000000000000003E-2</v>
      </c>
      <c r="G199" s="371">
        <v>6.3E-2</v>
      </c>
      <c r="H199" s="371">
        <v>0.10299999999999999</v>
      </c>
      <c r="I199" s="371">
        <v>0.19600000000000001</v>
      </c>
      <c r="J199" s="371">
        <v>0.311</v>
      </c>
      <c r="K199" s="371">
        <v>0.47399999999999998</v>
      </c>
      <c r="L199" s="371">
        <v>0.56399999999999995</v>
      </c>
      <c r="M199" s="371">
        <v>0.76200000000000001</v>
      </c>
      <c r="N199" s="371">
        <v>0.85799999999999998</v>
      </c>
      <c r="O199" s="371">
        <v>0.92800000000000005</v>
      </c>
      <c r="P199" s="371">
        <v>1.038</v>
      </c>
      <c r="Q199" s="371">
        <v>1.08</v>
      </c>
      <c r="R199" s="371">
        <v>1.131</v>
      </c>
      <c r="S199" s="371">
        <v>1.1850000000000001</v>
      </c>
      <c r="T199" s="371">
        <v>1.224</v>
      </c>
      <c r="U199" s="371">
        <v>1.258</v>
      </c>
      <c r="V199" s="371">
        <v>1.4</v>
      </c>
      <c r="W199" s="371">
        <v>1.4410000000000001</v>
      </c>
      <c r="X199" s="371">
        <v>2</v>
      </c>
      <c r="Y199" s="381">
        <v>1000</v>
      </c>
    </row>
    <row r="200" spans="1:26" x14ac:dyDescent="0.2">
      <c r="A200" s="378" t="s">
        <v>34</v>
      </c>
      <c r="B200" s="372">
        <v>0</v>
      </c>
      <c r="C200" s="373">
        <v>168.643</v>
      </c>
      <c r="D200" s="373">
        <v>177.339</v>
      </c>
      <c r="E200" s="373">
        <v>177.86600000000001</v>
      </c>
      <c r="F200" s="373">
        <v>171.27799999999999</v>
      </c>
      <c r="G200" s="373">
        <v>157.839</v>
      </c>
      <c r="H200" s="373">
        <v>154.941</v>
      </c>
      <c r="I200" s="373">
        <v>148.88</v>
      </c>
      <c r="J200" s="373">
        <v>144.137</v>
      </c>
      <c r="K200" s="373">
        <v>138.07599999999999</v>
      </c>
      <c r="L200" s="373">
        <v>135.70500000000001</v>
      </c>
      <c r="M200" s="373">
        <v>125.955</v>
      </c>
      <c r="N200" s="373">
        <v>116.733</v>
      </c>
      <c r="O200" s="373">
        <v>101.71299999999999</v>
      </c>
      <c r="P200" s="373">
        <v>57.444000000000003</v>
      </c>
      <c r="Q200" s="373">
        <v>42.688000000000002</v>
      </c>
      <c r="R200" s="373">
        <v>31.884</v>
      </c>
      <c r="S200" s="373">
        <v>17.655000000000001</v>
      </c>
      <c r="T200" s="373">
        <v>9.4860000000000007</v>
      </c>
      <c r="U200" s="373">
        <v>5.27</v>
      </c>
      <c r="V200" s="373">
        <v>0.79100000000000004</v>
      </c>
      <c r="W200" s="373">
        <v>0</v>
      </c>
      <c r="X200" s="373">
        <f>W200</f>
        <v>0</v>
      </c>
      <c r="Y200" s="382">
        <v>0</v>
      </c>
    </row>
    <row r="201" spans="1:26" ht="13.5" thickBot="1" x14ac:dyDescent="0.25">
      <c r="A201" s="379" t="s">
        <v>119</v>
      </c>
      <c r="B201" s="374">
        <f t="shared" ref="B201:X201" si="48">(C200+B200)*(C199-B199)/2</f>
        <v>0.67457200000000006</v>
      </c>
      <c r="C201" s="375">
        <f t="shared" si="48"/>
        <v>0.86495499999999981</v>
      </c>
      <c r="D201" s="375">
        <f t="shared" si="48"/>
        <v>1.5984225000000001</v>
      </c>
      <c r="E201" s="375">
        <f t="shared" si="48"/>
        <v>2.2694360000000007</v>
      </c>
      <c r="F201" s="375">
        <f t="shared" si="48"/>
        <v>4.6076379999999988</v>
      </c>
      <c r="G201" s="375">
        <f t="shared" si="48"/>
        <v>6.2555999999999985</v>
      </c>
      <c r="H201" s="375">
        <f t="shared" si="48"/>
        <v>14.127676500000003</v>
      </c>
      <c r="I201" s="375">
        <f t="shared" si="48"/>
        <v>16.848477499999998</v>
      </c>
      <c r="J201" s="375">
        <f t="shared" si="48"/>
        <v>23.000359499999995</v>
      </c>
      <c r="K201" s="375">
        <f t="shared" si="48"/>
        <v>12.320144999999997</v>
      </c>
      <c r="L201" s="375">
        <f t="shared" si="48"/>
        <v>25.904340000000012</v>
      </c>
      <c r="M201" s="375">
        <f t="shared" si="48"/>
        <v>11.649023999999997</v>
      </c>
      <c r="N201" s="375">
        <f t="shared" si="48"/>
        <v>7.6456100000000067</v>
      </c>
      <c r="O201" s="375">
        <f t="shared" si="48"/>
        <v>8.7536349999999974</v>
      </c>
      <c r="P201" s="375">
        <f t="shared" si="48"/>
        <v>2.1027720000000021</v>
      </c>
      <c r="Q201" s="375">
        <f t="shared" si="48"/>
        <v>1.9015859999999976</v>
      </c>
      <c r="R201" s="375">
        <f t="shared" si="48"/>
        <v>1.3375530000000013</v>
      </c>
      <c r="S201" s="375">
        <f t="shared" si="48"/>
        <v>0.52924949999999904</v>
      </c>
      <c r="T201" s="375">
        <f t="shared" si="48"/>
        <v>0.25085200000000024</v>
      </c>
      <c r="U201" s="375">
        <f t="shared" si="48"/>
        <v>0.43033099999999969</v>
      </c>
      <c r="V201" s="375">
        <f t="shared" si="48"/>
        <v>1.621550000000006E-2</v>
      </c>
      <c r="W201" s="375">
        <f t="shared" si="48"/>
        <v>0</v>
      </c>
      <c r="X201" s="375">
        <f t="shared" si="48"/>
        <v>0</v>
      </c>
      <c r="Y201" s="369"/>
    </row>
    <row r="202" spans="1:26" ht="13.5" thickBo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6" ht="13.5" thickBot="1" x14ac:dyDescent="0.25">
      <c r="A203" s="361" t="s">
        <v>543</v>
      </c>
      <c r="B203" s="359">
        <f>ROW(A203)</f>
        <v>203</v>
      </c>
      <c r="C203" s="363" t="s">
        <v>118</v>
      </c>
      <c r="D203" s="353">
        <f>SUM(B206:Y206)</f>
        <v>139.423417</v>
      </c>
      <c r="E203" s="363" t="s">
        <v>117</v>
      </c>
      <c r="F203" s="354">
        <f>D203/g/J203</f>
        <v>158.62027745922524</v>
      </c>
      <c r="G203" s="363" t="s">
        <v>59</v>
      </c>
      <c r="H203" s="64">
        <v>0.19450000000000001</v>
      </c>
      <c r="I203" s="363" t="s">
        <v>276</v>
      </c>
      <c r="J203" s="355">
        <f>H203-L203</f>
        <v>8.9600000000000013E-2</v>
      </c>
      <c r="K203" s="363" t="s">
        <v>277</v>
      </c>
      <c r="L203" s="64">
        <v>0.10489999999999999</v>
      </c>
      <c r="M203" s="363" t="s">
        <v>60</v>
      </c>
      <c r="N203" s="65">
        <v>114</v>
      </c>
      <c r="O203" s="363" t="s">
        <v>62</v>
      </c>
      <c r="P203" s="65">
        <v>144</v>
      </c>
      <c r="Q203" s="363" t="s">
        <v>63</v>
      </c>
      <c r="R203" s="65">
        <v>228</v>
      </c>
      <c r="S203" s="363" t="s">
        <v>64</v>
      </c>
      <c r="T203" s="65">
        <v>24</v>
      </c>
      <c r="U203" s="363" t="s">
        <v>57</v>
      </c>
      <c r="V203" s="66" t="s">
        <v>122</v>
      </c>
      <c r="W203" s="463" t="s">
        <v>400</v>
      </c>
      <c r="X203" s="465">
        <v>1.3</v>
      </c>
      <c r="Y203" s="463" t="s">
        <v>399</v>
      </c>
      <c r="Z203" s="358">
        <v>12</v>
      </c>
    </row>
    <row r="204" spans="1:26" x14ac:dyDescent="0.2">
      <c r="A204" s="362" t="s">
        <v>33</v>
      </c>
      <c r="B204" s="370">
        <v>0</v>
      </c>
      <c r="C204" s="371">
        <v>1.0999999999999999E-2</v>
      </c>
      <c r="D204" s="371">
        <v>2.1999999999999999E-2</v>
      </c>
      <c r="E204" s="371">
        <v>4.5999999999999999E-2</v>
      </c>
      <c r="F204" s="371">
        <v>8.1000000000000003E-2</v>
      </c>
      <c r="G204" s="371">
        <v>0.219</v>
      </c>
      <c r="H204" s="371">
        <v>0.253</v>
      </c>
      <c r="I204" s="371">
        <v>0.27400000000000002</v>
      </c>
      <c r="J204" s="371">
        <v>0.30499999999999999</v>
      </c>
      <c r="K204" s="371">
        <v>0.41199999999999998</v>
      </c>
      <c r="L204" s="371">
        <v>0.78900000000000003</v>
      </c>
      <c r="M204" s="371">
        <v>0.89900000000000002</v>
      </c>
      <c r="N204" s="371">
        <v>0.95299999999999996</v>
      </c>
      <c r="O204" s="371">
        <v>0.999</v>
      </c>
      <c r="P204" s="371">
        <v>1.03</v>
      </c>
      <c r="Q204" s="371">
        <v>1.0569999999999999</v>
      </c>
      <c r="R204" s="371">
        <v>1.1020000000000001</v>
      </c>
      <c r="S204" s="371">
        <v>1.1539999999999999</v>
      </c>
      <c r="T204" s="371">
        <v>1.1970000000000001</v>
      </c>
      <c r="U204" s="371">
        <v>1.2769999999999999</v>
      </c>
      <c r="V204" s="371">
        <v>1.335</v>
      </c>
      <c r="W204" s="371">
        <v>1.4510000000000001</v>
      </c>
      <c r="X204" s="371">
        <v>2</v>
      </c>
      <c r="Y204" s="381">
        <v>1000</v>
      </c>
    </row>
    <row r="205" spans="1:26" x14ac:dyDescent="0.2">
      <c r="A205" s="378" t="s">
        <v>34</v>
      </c>
      <c r="B205" s="372">
        <v>0</v>
      </c>
      <c r="C205" s="373">
        <v>198.41800000000001</v>
      </c>
      <c r="D205" s="373">
        <v>221.83500000000001</v>
      </c>
      <c r="E205" s="373">
        <v>212.65799999999999</v>
      </c>
      <c r="F205" s="373">
        <v>218.35400000000001</v>
      </c>
      <c r="G205" s="373">
        <v>204.43</v>
      </c>
      <c r="H205" s="373">
        <v>195.886</v>
      </c>
      <c r="I205" s="373">
        <v>183.54400000000001</v>
      </c>
      <c r="J205" s="373">
        <v>88.290999999999997</v>
      </c>
      <c r="K205" s="373">
        <v>93.671000000000006</v>
      </c>
      <c r="L205" s="373">
        <v>93.986999999999995</v>
      </c>
      <c r="M205" s="373">
        <v>91.138999999999996</v>
      </c>
      <c r="N205" s="373">
        <v>89.873000000000005</v>
      </c>
      <c r="O205" s="373">
        <v>87.025000000000006</v>
      </c>
      <c r="P205" s="373">
        <v>81.328999999999994</v>
      </c>
      <c r="Q205" s="373">
        <v>69.936999999999998</v>
      </c>
      <c r="R205" s="373">
        <v>54.113999999999997</v>
      </c>
      <c r="S205" s="373">
        <v>42.405000000000001</v>
      </c>
      <c r="T205" s="373">
        <v>31.646000000000001</v>
      </c>
      <c r="U205" s="373">
        <v>17.088999999999999</v>
      </c>
      <c r="V205" s="373">
        <v>9.81</v>
      </c>
      <c r="W205" s="373">
        <v>0</v>
      </c>
      <c r="X205" s="373">
        <v>0</v>
      </c>
      <c r="Y205" s="382">
        <v>0</v>
      </c>
    </row>
    <row r="206" spans="1:26" ht="13.5" thickBot="1" x14ac:dyDescent="0.25">
      <c r="A206" s="379" t="s">
        <v>119</v>
      </c>
      <c r="B206" s="374">
        <f t="shared" ref="B206:X206" si="49">(C205+B205)*(C204-B204)/2</f>
        <v>1.091299</v>
      </c>
      <c r="C206" s="375">
        <f t="shared" si="49"/>
        <v>2.3113915</v>
      </c>
      <c r="D206" s="375">
        <f t="shared" si="49"/>
        <v>5.2139160000000002</v>
      </c>
      <c r="E206" s="375">
        <f t="shared" si="49"/>
        <v>7.5427100000000005</v>
      </c>
      <c r="F206" s="375">
        <f t="shared" si="49"/>
        <v>29.172096000000003</v>
      </c>
      <c r="G206" s="375">
        <f t="shared" si="49"/>
        <v>6.8053720000000011</v>
      </c>
      <c r="H206" s="375">
        <f t="shared" si="49"/>
        <v>3.9840150000000034</v>
      </c>
      <c r="I206" s="375">
        <f t="shared" si="49"/>
        <v>4.2134424999999966</v>
      </c>
      <c r="J206" s="375">
        <f t="shared" si="49"/>
        <v>9.7349669999999975</v>
      </c>
      <c r="K206" s="375">
        <f t="shared" si="49"/>
        <v>35.373533000000009</v>
      </c>
      <c r="L206" s="375">
        <f t="shared" si="49"/>
        <v>10.181929999999998</v>
      </c>
      <c r="M206" s="375">
        <f t="shared" si="49"/>
        <v>4.8873239999999942</v>
      </c>
      <c r="N206" s="375">
        <f t="shared" si="49"/>
        <v>4.068654000000004</v>
      </c>
      <c r="O206" s="375">
        <f t="shared" si="49"/>
        <v>2.6094870000000019</v>
      </c>
      <c r="P206" s="375">
        <f t="shared" si="49"/>
        <v>2.0420909999999934</v>
      </c>
      <c r="Q206" s="375">
        <f t="shared" si="49"/>
        <v>2.791147500000009</v>
      </c>
      <c r="R206" s="375">
        <f t="shared" si="49"/>
        <v>2.5094939999999917</v>
      </c>
      <c r="S206" s="375">
        <f t="shared" si="49"/>
        <v>1.5920965000000056</v>
      </c>
      <c r="T206" s="375">
        <f t="shared" si="49"/>
        <v>1.9493999999999962</v>
      </c>
      <c r="U206" s="375">
        <f t="shared" si="49"/>
        <v>0.78007100000000074</v>
      </c>
      <c r="V206" s="375">
        <f t="shared" si="49"/>
        <v>0.56898000000000049</v>
      </c>
      <c r="W206" s="375">
        <f t="shared" si="49"/>
        <v>0</v>
      </c>
      <c r="X206" s="375">
        <f t="shared" si="49"/>
        <v>0</v>
      </c>
      <c r="Y206" s="369"/>
    </row>
    <row r="207" spans="1:26" ht="13.5" thickBot="1" x14ac:dyDescent="0.25">
      <c r="A207" s="6" t="s">
        <v>321</v>
      </c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6" ht="13.5" thickBot="1" x14ac:dyDescent="0.25">
      <c r="A208" s="361" t="s">
        <v>381</v>
      </c>
      <c r="B208" s="359">
        <f>ROW(A208)</f>
        <v>208</v>
      </c>
      <c r="C208" s="363" t="s">
        <v>118</v>
      </c>
      <c r="D208" s="353">
        <f>SUM(B211:Y211)</f>
        <v>82.798500000000018</v>
      </c>
      <c r="E208" s="363" t="s">
        <v>117</v>
      </c>
      <c r="F208" s="354">
        <f>D208/g/J208</f>
        <v>131.87834480122325</v>
      </c>
      <c r="G208" s="363" t="s">
        <v>59</v>
      </c>
      <c r="H208" s="64">
        <v>0.152</v>
      </c>
      <c r="I208" s="363" t="s">
        <v>276</v>
      </c>
      <c r="J208" s="355">
        <f>H208-L208</f>
        <v>6.4000000000000001E-2</v>
      </c>
      <c r="K208" s="363" t="s">
        <v>277</v>
      </c>
      <c r="L208" s="64">
        <v>8.7999999999999995E-2</v>
      </c>
      <c r="M208" s="363" t="s">
        <v>60</v>
      </c>
      <c r="N208" s="65">
        <v>71</v>
      </c>
      <c r="O208" s="363" t="s">
        <v>62</v>
      </c>
      <c r="P208" s="65">
        <v>71</v>
      </c>
      <c r="Q208" s="363" t="s">
        <v>63</v>
      </c>
      <c r="R208" s="65">
        <v>142</v>
      </c>
      <c r="S208" s="363" t="s">
        <v>64</v>
      </c>
      <c r="T208" s="65">
        <v>29</v>
      </c>
      <c r="U208" s="363" t="s">
        <v>57</v>
      </c>
      <c r="V208" s="66" t="s">
        <v>122</v>
      </c>
      <c r="W208" s="463" t="s">
        <v>400</v>
      </c>
      <c r="X208" s="465">
        <v>0.96</v>
      </c>
      <c r="Y208" s="463" t="s">
        <v>399</v>
      </c>
      <c r="Z208" s="358">
        <v>11</v>
      </c>
    </row>
    <row r="209" spans="1:26" x14ac:dyDescent="0.2">
      <c r="A209" s="362" t="s">
        <v>33</v>
      </c>
      <c r="B209" s="370">
        <v>0</v>
      </c>
      <c r="C209" s="371">
        <v>0.02</v>
      </c>
      <c r="D209" s="371">
        <v>0.03</v>
      </c>
      <c r="E209" s="371">
        <v>0.04</v>
      </c>
      <c r="F209" s="371">
        <v>0.06</v>
      </c>
      <c r="G209" s="371">
        <v>0.08</v>
      </c>
      <c r="H209" s="371">
        <v>0.15</v>
      </c>
      <c r="I209" s="371">
        <v>0.18</v>
      </c>
      <c r="J209" s="371">
        <v>0.2</v>
      </c>
      <c r="K209" s="371">
        <v>0.3</v>
      </c>
      <c r="L209" s="371">
        <v>0.4</v>
      </c>
      <c r="M209" s="371">
        <v>0.5</v>
      </c>
      <c r="N209" s="371">
        <v>0.6</v>
      </c>
      <c r="O209" s="371">
        <v>0.7</v>
      </c>
      <c r="P209" s="371">
        <v>0.82</v>
      </c>
      <c r="Q209" s="371">
        <v>0.93</v>
      </c>
      <c r="R209" s="371">
        <v>1</v>
      </c>
      <c r="S209" s="371">
        <f t="shared" ref="S209:X210" si="50">R209</f>
        <v>1</v>
      </c>
      <c r="T209" s="371">
        <f t="shared" si="50"/>
        <v>1</v>
      </c>
      <c r="U209" s="371">
        <f t="shared" si="50"/>
        <v>1</v>
      </c>
      <c r="V209" s="371">
        <f t="shared" si="50"/>
        <v>1</v>
      </c>
      <c r="W209" s="371">
        <f t="shared" si="50"/>
        <v>1</v>
      </c>
      <c r="X209" s="371">
        <v>2</v>
      </c>
      <c r="Y209" s="381">
        <v>1000</v>
      </c>
    </row>
    <row r="210" spans="1:26" x14ac:dyDescent="0.2">
      <c r="A210" s="378" t="s">
        <v>34</v>
      </c>
      <c r="B210" s="372">
        <v>0</v>
      </c>
      <c r="C210" s="373">
        <v>41.9</v>
      </c>
      <c r="D210" s="373">
        <v>92.1</v>
      </c>
      <c r="E210" s="373">
        <v>116.7</v>
      </c>
      <c r="F210" s="373">
        <v>112.7</v>
      </c>
      <c r="G210" s="373">
        <v>82.7</v>
      </c>
      <c r="H210" s="373">
        <v>84.7</v>
      </c>
      <c r="I210" s="373">
        <v>86.2</v>
      </c>
      <c r="J210" s="373">
        <v>87.9</v>
      </c>
      <c r="K210" s="373">
        <v>90.9</v>
      </c>
      <c r="L210" s="373">
        <v>93.9</v>
      </c>
      <c r="M210" s="373">
        <v>95.3</v>
      </c>
      <c r="N210" s="373">
        <v>96.8</v>
      </c>
      <c r="O210" s="373">
        <v>97.6</v>
      </c>
      <c r="P210" s="373">
        <v>108.2</v>
      </c>
      <c r="Q210" s="373">
        <v>11</v>
      </c>
      <c r="R210" s="373">
        <v>0</v>
      </c>
      <c r="S210" s="373">
        <f t="shared" si="50"/>
        <v>0</v>
      </c>
      <c r="T210" s="373">
        <f t="shared" si="50"/>
        <v>0</v>
      </c>
      <c r="U210" s="373">
        <f t="shared" si="50"/>
        <v>0</v>
      </c>
      <c r="V210" s="373">
        <f t="shared" si="50"/>
        <v>0</v>
      </c>
      <c r="W210" s="373">
        <f t="shared" si="50"/>
        <v>0</v>
      </c>
      <c r="X210" s="373">
        <f t="shared" si="50"/>
        <v>0</v>
      </c>
      <c r="Y210" s="382">
        <v>0</v>
      </c>
    </row>
    <row r="211" spans="1:26" ht="13.5" thickBot="1" x14ac:dyDescent="0.25">
      <c r="A211" s="379" t="s">
        <v>119</v>
      </c>
      <c r="B211" s="374">
        <f t="shared" ref="B211:V211" si="51">(C210+B210)*(C209-B209)/2</f>
        <v>0.41899999999999998</v>
      </c>
      <c r="C211" s="375">
        <f t="shared" si="51"/>
        <v>0.66999999999999993</v>
      </c>
      <c r="D211" s="375">
        <f t="shared" si="51"/>
        <v>1.0440000000000003</v>
      </c>
      <c r="E211" s="375">
        <f t="shared" si="51"/>
        <v>2.2939999999999996</v>
      </c>
      <c r="F211" s="375">
        <f t="shared" si="51"/>
        <v>1.9540000000000004</v>
      </c>
      <c r="G211" s="375">
        <f t="shared" si="51"/>
        <v>5.859</v>
      </c>
      <c r="H211" s="375">
        <f t="shared" si="51"/>
        <v>2.5634999999999999</v>
      </c>
      <c r="I211" s="375">
        <f t="shared" si="51"/>
        <v>1.7410000000000019</v>
      </c>
      <c r="J211" s="375">
        <f>(K210+J210)*(K209-J209)/2</f>
        <v>8.9399999999999977</v>
      </c>
      <c r="K211" s="375">
        <f t="shared" si="51"/>
        <v>9.2400000000000038</v>
      </c>
      <c r="L211" s="375">
        <f t="shared" si="51"/>
        <v>9.4599999999999973</v>
      </c>
      <c r="M211" s="375">
        <f t="shared" si="51"/>
        <v>9.6049999999999969</v>
      </c>
      <c r="N211" s="375">
        <f t="shared" si="51"/>
        <v>9.7199999999999971</v>
      </c>
      <c r="O211" s="375">
        <f t="shared" si="51"/>
        <v>12.348000000000001</v>
      </c>
      <c r="P211" s="375">
        <f t="shared" si="51"/>
        <v>6.5560000000000063</v>
      </c>
      <c r="Q211" s="375">
        <f t="shared" si="51"/>
        <v>0.38499999999999973</v>
      </c>
      <c r="R211" s="375">
        <f t="shared" si="51"/>
        <v>0</v>
      </c>
      <c r="S211" s="375">
        <f>(T210+S210)*(T209-S209)/2</f>
        <v>0</v>
      </c>
      <c r="T211" s="375">
        <f t="shared" si="51"/>
        <v>0</v>
      </c>
      <c r="U211" s="375">
        <f t="shared" si="51"/>
        <v>0</v>
      </c>
      <c r="V211" s="375">
        <f t="shared" si="51"/>
        <v>0</v>
      </c>
      <c r="W211" s="375">
        <f>(X210+W210)*(X209-W209)/2</f>
        <v>0</v>
      </c>
      <c r="X211" s="375">
        <f>(Y210+X210)*(Y209-X209)/2</f>
        <v>0</v>
      </c>
      <c r="Y211" s="369"/>
    </row>
    <row r="212" spans="1:26" ht="13.5" thickBot="1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6" ht="13.5" thickBot="1" x14ac:dyDescent="0.25">
      <c r="A213" s="361" t="s">
        <v>382</v>
      </c>
      <c r="B213" s="359">
        <f>ROW(A213)</f>
        <v>213</v>
      </c>
      <c r="C213" s="363" t="s">
        <v>118</v>
      </c>
      <c r="D213" s="353">
        <f>SUM(B216:Y216)</f>
        <v>98.257101163036367</v>
      </c>
      <c r="E213" s="363" t="s">
        <v>117</v>
      </c>
      <c r="F213" s="354">
        <f>D213/g/J213</f>
        <v>177.58890761893778</v>
      </c>
      <c r="G213" s="363" t="s">
        <v>59</v>
      </c>
      <c r="H213" s="64">
        <v>0.14319999999999999</v>
      </c>
      <c r="I213" s="363" t="s">
        <v>276</v>
      </c>
      <c r="J213" s="355">
        <f>H213-L213</f>
        <v>5.6399999999999992E-2</v>
      </c>
      <c r="K213" s="363" t="s">
        <v>277</v>
      </c>
      <c r="L213" s="64">
        <v>8.6800000000000002E-2</v>
      </c>
      <c r="M213" s="363" t="s">
        <v>60</v>
      </c>
      <c r="N213" s="65">
        <v>71</v>
      </c>
      <c r="O213" s="363" t="s">
        <v>62</v>
      </c>
      <c r="P213" s="65">
        <v>71</v>
      </c>
      <c r="Q213" s="363" t="s">
        <v>63</v>
      </c>
      <c r="R213" s="65">
        <v>142</v>
      </c>
      <c r="S213" s="363" t="s">
        <v>64</v>
      </c>
      <c r="T213" s="65">
        <v>29</v>
      </c>
      <c r="U213" s="363" t="s">
        <v>57</v>
      </c>
      <c r="V213" s="66" t="s">
        <v>122</v>
      </c>
      <c r="W213" s="463" t="s">
        <v>400</v>
      </c>
      <c r="X213" s="465">
        <v>1.1499999999999999</v>
      </c>
      <c r="Y213" s="463" t="s">
        <v>399</v>
      </c>
      <c r="Z213" s="358">
        <v>14</v>
      </c>
    </row>
    <row r="214" spans="1:26" x14ac:dyDescent="0.2">
      <c r="A214" s="362" t="s">
        <v>33</v>
      </c>
      <c r="B214" s="370">
        <v>0</v>
      </c>
      <c r="C214" s="371">
        <v>1.4999999999999999E-2</v>
      </c>
      <c r="D214" s="371">
        <v>0.03</v>
      </c>
      <c r="E214" s="371">
        <v>4.4999999999999998E-2</v>
      </c>
      <c r="F214" s="371">
        <v>0.06</v>
      </c>
      <c r="G214" s="371">
        <v>7.4999999999999997E-2</v>
      </c>
      <c r="H214" s="371">
        <v>0.09</v>
      </c>
      <c r="I214" s="371">
        <v>0.105</v>
      </c>
      <c r="J214" s="371">
        <v>0.12</v>
      </c>
      <c r="K214" s="371">
        <v>0.18</v>
      </c>
      <c r="L214" s="371">
        <v>0.24</v>
      </c>
      <c r="M214" s="371">
        <v>0.3</v>
      </c>
      <c r="N214" s="371">
        <v>0.48</v>
      </c>
      <c r="O214" s="371">
        <v>0.6</v>
      </c>
      <c r="P214" s="371">
        <v>0.66</v>
      </c>
      <c r="Q214" s="371">
        <v>0.72</v>
      </c>
      <c r="R214" s="371">
        <v>0.78</v>
      </c>
      <c r="S214" s="371">
        <v>0.84</v>
      </c>
      <c r="T214" s="371">
        <v>0.9</v>
      </c>
      <c r="U214" s="371">
        <v>0.96</v>
      </c>
      <c r="V214" s="371">
        <v>1.0349999999999999</v>
      </c>
      <c r="W214" s="371">
        <v>1.2</v>
      </c>
      <c r="X214" s="371">
        <v>2</v>
      </c>
      <c r="Y214" s="381">
        <v>1000</v>
      </c>
    </row>
    <row r="215" spans="1:26" x14ac:dyDescent="0.2">
      <c r="A215" s="378" t="s">
        <v>34</v>
      </c>
      <c r="B215" s="372">
        <v>0</v>
      </c>
      <c r="C215" s="376">
        <v>99.328788958822486</v>
      </c>
      <c r="D215" s="376">
        <v>109.07039432469</v>
      </c>
      <c r="E215" s="376">
        <v>65.255411286427503</v>
      </c>
      <c r="F215" s="376">
        <v>67.568486533117493</v>
      </c>
      <c r="G215" s="376">
        <v>73.929443461515007</v>
      </c>
      <c r="H215" s="376">
        <v>74.329783408057494</v>
      </c>
      <c r="I215" s="376">
        <v>78.1552540083525</v>
      </c>
      <c r="J215" s="376">
        <v>78.600076171177506</v>
      </c>
      <c r="K215" s="376">
        <v>82.203135690059995</v>
      </c>
      <c r="L215" s="376">
        <v>84.516210936749999</v>
      </c>
      <c r="M215" s="376">
        <v>88.51961040217499</v>
      </c>
      <c r="N215" s="376">
        <v>95.102978411984992</v>
      </c>
      <c r="O215" s="376">
        <v>95.547800574809997</v>
      </c>
      <c r="P215" s="376">
        <v>94.480227384029988</v>
      </c>
      <c r="Q215" s="376">
        <v>92.122669921057494</v>
      </c>
      <c r="R215" s="376">
        <v>90.743721216299988</v>
      </c>
      <c r="S215" s="376">
        <v>88.964432564999996</v>
      </c>
      <c r="T215" s="376">
        <v>85.405855262399996</v>
      </c>
      <c r="U215" s="376">
        <v>83.448637745970004</v>
      </c>
      <c r="V215" s="376">
        <v>88.074788239349999</v>
      </c>
      <c r="W215" s="376">
        <v>0</v>
      </c>
      <c r="X215" s="373">
        <v>0</v>
      </c>
      <c r="Y215" s="382">
        <v>0</v>
      </c>
    </row>
    <row r="216" spans="1:26" ht="13.5" thickBot="1" x14ac:dyDescent="0.25">
      <c r="A216" s="379" t="s">
        <v>119</v>
      </c>
      <c r="B216" s="374">
        <f t="shared" ref="B216:V216" si="52">(C215+B215)*(C214-B214)/2</f>
        <v>0.74496591719116867</v>
      </c>
      <c r="C216" s="375">
        <f t="shared" si="52"/>
        <v>1.5629938746263436</v>
      </c>
      <c r="D216" s="375">
        <f t="shared" si="52"/>
        <v>1.3074435420833814</v>
      </c>
      <c r="E216" s="375">
        <f t="shared" si="52"/>
        <v>0.99617923364658734</v>
      </c>
      <c r="F216" s="375">
        <f t="shared" si="52"/>
        <v>1.0612344749597438</v>
      </c>
      <c r="G216" s="375">
        <f t="shared" si="52"/>
        <v>1.1119442015217937</v>
      </c>
      <c r="H216" s="375">
        <f t="shared" si="52"/>
        <v>1.1436377806230749</v>
      </c>
      <c r="I216" s="375">
        <f t="shared" si="52"/>
        <v>1.175664976346475</v>
      </c>
      <c r="J216" s="375">
        <f>(K215+J215)*(K214-J214)/2</f>
        <v>4.824096355837125</v>
      </c>
      <c r="K216" s="375">
        <f t="shared" si="52"/>
        <v>5.0015803988042995</v>
      </c>
      <c r="L216" s="375">
        <f t="shared" si="52"/>
        <v>5.1910746401677494</v>
      </c>
      <c r="M216" s="375">
        <f t="shared" si="52"/>
        <v>16.526032993274399</v>
      </c>
      <c r="N216" s="375">
        <f t="shared" si="52"/>
        <v>11.439046739207699</v>
      </c>
      <c r="O216" s="375">
        <f t="shared" si="52"/>
        <v>5.7008408387652043</v>
      </c>
      <c r="P216" s="375">
        <f t="shared" si="52"/>
        <v>5.5980869191526192</v>
      </c>
      <c r="Q216" s="375">
        <f t="shared" si="52"/>
        <v>5.4859917341207289</v>
      </c>
      <c r="R216" s="375">
        <f t="shared" si="52"/>
        <v>5.3912446134389942</v>
      </c>
      <c r="S216" s="375">
        <f>(T215+S215)*(T214-S214)/2</f>
        <v>5.2311086348220037</v>
      </c>
      <c r="T216" s="375">
        <f t="shared" si="52"/>
        <v>5.0656347902510959</v>
      </c>
      <c r="U216" s="375">
        <f t="shared" si="52"/>
        <v>6.4321284744494962</v>
      </c>
      <c r="V216" s="375">
        <f t="shared" si="52"/>
        <v>7.2661700297463767</v>
      </c>
      <c r="W216" s="375">
        <f>(X215+W215)*(X214-W214)/2</f>
        <v>0</v>
      </c>
      <c r="X216" s="375">
        <f>(Y215+X215)*(Y214-X214)/2</f>
        <v>0</v>
      </c>
      <c r="Y216" s="369"/>
    </row>
    <row r="217" spans="1:26" ht="13.5" thickBo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6" ht="13.5" thickBot="1" x14ac:dyDescent="0.25">
      <c r="A218" s="361" t="s">
        <v>383</v>
      </c>
      <c r="B218" s="359">
        <f>ROW(A218)</f>
        <v>218</v>
      </c>
      <c r="C218" s="363" t="s">
        <v>118</v>
      </c>
      <c r="D218" s="353">
        <f>SUM(B221:Y221)</f>
        <v>109.60639850000001</v>
      </c>
      <c r="E218" s="363" t="s">
        <v>117</v>
      </c>
      <c r="F218" s="354">
        <f>D218/g/J218</f>
        <v>194.31174666489383</v>
      </c>
      <c r="G218" s="363" t="s">
        <v>59</v>
      </c>
      <c r="H218" s="64">
        <v>0.14130000000000001</v>
      </c>
      <c r="I218" s="363" t="s">
        <v>276</v>
      </c>
      <c r="J218" s="355">
        <f>H218-L218</f>
        <v>5.7500000000000009E-2</v>
      </c>
      <c r="K218" s="363" t="s">
        <v>277</v>
      </c>
      <c r="L218" s="64">
        <v>8.3799999999999999E-2</v>
      </c>
      <c r="M218" s="363" t="s">
        <v>60</v>
      </c>
      <c r="N218" s="65">
        <v>71</v>
      </c>
      <c r="O218" s="363" t="s">
        <v>62</v>
      </c>
      <c r="P218" s="65">
        <v>71</v>
      </c>
      <c r="Q218" s="363" t="s">
        <v>63</v>
      </c>
      <c r="R218" s="65">
        <v>142</v>
      </c>
      <c r="S218" s="363" t="s">
        <v>64</v>
      </c>
      <c r="T218" s="65">
        <v>29</v>
      </c>
      <c r="U218" s="363" t="s">
        <v>57</v>
      </c>
      <c r="V218" s="66" t="s">
        <v>407</v>
      </c>
      <c r="W218" s="463" t="s">
        <v>400</v>
      </c>
      <c r="X218" s="465">
        <v>0.45</v>
      </c>
      <c r="Y218" s="463" t="s">
        <v>399</v>
      </c>
      <c r="Z218" s="358">
        <v>14</v>
      </c>
    </row>
    <row r="219" spans="1:26" x14ac:dyDescent="0.2">
      <c r="A219" s="362" t="s">
        <v>33</v>
      </c>
      <c r="B219" s="370">
        <v>0</v>
      </c>
      <c r="C219" s="371">
        <v>6.0000000000000001E-3</v>
      </c>
      <c r="D219" s="371">
        <v>1.0999999999999999E-2</v>
      </c>
      <c r="E219" s="371">
        <v>1.6E-2</v>
      </c>
      <c r="F219" s="371">
        <v>3.1E-2</v>
      </c>
      <c r="G219" s="371">
        <v>7.4999999999999997E-2</v>
      </c>
      <c r="H219" s="371">
        <v>0.122</v>
      </c>
      <c r="I219" s="371">
        <v>0.216</v>
      </c>
      <c r="J219" s="371">
        <v>0.25</v>
      </c>
      <c r="K219" s="371">
        <v>0.28699999999999998</v>
      </c>
      <c r="L219" s="371">
        <v>0.35399999999999998</v>
      </c>
      <c r="M219" s="371">
        <v>0.374</v>
      </c>
      <c r="N219" s="371">
        <v>0.4</v>
      </c>
      <c r="O219" s="371">
        <v>0.41299999999999998</v>
      </c>
      <c r="P219" s="371">
        <v>0.42</v>
      </c>
      <c r="Q219" s="371">
        <v>0.433</v>
      </c>
      <c r="R219" s="371">
        <v>0.44500000000000001</v>
      </c>
      <c r="S219" s="371">
        <v>0.45400000000000001</v>
      </c>
      <c r="T219" s="371">
        <f t="shared" ref="T219:X220" si="53">S219</f>
        <v>0.45400000000000001</v>
      </c>
      <c r="U219" s="371">
        <f t="shared" si="53"/>
        <v>0.45400000000000001</v>
      </c>
      <c r="V219" s="371">
        <f t="shared" si="53"/>
        <v>0.45400000000000001</v>
      </c>
      <c r="W219" s="371">
        <f t="shared" si="53"/>
        <v>0.45400000000000001</v>
      </c>
      <c r="X219" s="371">
        <v>2</v>
      </c>
      <c r="Y219" s="381">
        <v>1000</v>
      </c>
    </row>
    <row r="220" spans="1:26" x14ac:dyDescent="0.2">
      <c r="A220" s="378" t="s">
        <v>34</v>
      </c>
      <c r="B220" s="372">
        <v>0</v>
      </c>
      <c r="C220" s="373">
        <v>151.62100000000001</v>
      </c>
      <c r="D220" s="373">
        <v>198.07900000000001</v>
      </c>
      <c r="E220" s="373">
        <v>203.12100000000001</v>
      </c>
      <c r="F220" s="373">
        <v>201.68100000000001</v>
      </c>
      <c r="G220" s="373">
        <v>226.17</v>
      </c>
      <c r="H220" s="373">
        <v>250.3</v>
      </c>
      <c r="I220" s="373">
        <v>280.19200000000001</v>
      </c>
      <c r="J220" s="373">
        <v>287.03500000000003</v>
      </c>
      <c r="K220" s="373">
        <v>284.87400000000002</v>
      </c>
      <c r="L220" s="373">
        <v>269.74799999999999</v>
      </c>
      <c r="M220" s="373">
        <v>258.58300000000003</v>
      </c>
      <c r="N220" s="373">
        <v>233.37299999999999</v>
      </c>
      <c r="O220" s="373">
        <v>234.09399999999999</v>
      </c>
      <c r="P220" s="373">
        <v>227.61099999999999</v>
      </c>
      <c r="Q220" s="373">
        <v>137.935</v>
      </c>
      <c r="R220" s="373">
        <v>33.853999999999999</v>
      </c>
      <c r="S220" s="373">
        <v>0</v>
      </c>
      <c r="T220" s="373">
        <f t="shared" si="53"/>
        <v>0</v>
      </c>
      <c r="U220" s="373">
        <f t="shared" si="53"/>
        <v>0</v>
      </c>
      <c r="V220" s="373">
        <f t="shared" si="53"/>
        <v>0</v>
      </c>
      <c r="W220" s="373">
        <f t="shared" si="53"/>
        <v>0</v>
      </c>
      <c r="X220" s="373">
        <f t="shared" si="53"/>
        <v>0</v>
      </c>
      <c r="Y220" s="382">
        <v>0</v>
      </c>
    </row>
    <row r="221" spans="1:26" ht="13.5" thickBot="1" x14ac:dyDescent="0.25">
      <c r="A221" s="379" t="s">
        <v>119</v>
      </c>
      <c r="B221" s="374">
        <f t="shared" ref="B221:X221" si="54">(C220+B220)*(C219-B219)/2</f>
        <v>0.45486300000000002</v>
      </c>
      <c r="C221" s="375">
        <f t="shared" si="54"/>
        <v>0.87424999999999997</v>
      </c>
      <c r="D221" s="375">
        <f t="shared" si="54"/>
        <v>1.0030000000000003</v>
      </c>
      <c r="E221" s="375">
        <f t="shared" si="54"/>
        <v>3.0360149999999999</v>
      </c>
      <c r="F221" s="375">
        <f t="shared" si="54"/>
        <v>9.4127219999999987</v>
      </c>
      <c r="G221" s="375">
        <f t="shared" si="54"/>
        <v>11.197045000000001</v>
      </c>
      <c r="H221" s="375">
        <f t="shared" si="54"/>
        <v>24.933123999999999</v>
      </c>
      <c r="I221" s="375">
        <f t="shared" si="54"/>
        <v>9.6428590000000014</v>
      </c>
      <c r="J221" s="375">
        <f t="shared" si="54"/>
        <v>10.580316499999995</v>
      </c>
      <c r="K221" s="375">
        <f t="shared" si="54"/>
        <v>18.579837000000005</v>
      </c>
      <c r="L221" s="375">
        <f t="shared" si="54"/>
        <v>5.2833100000000046</v>
      </c>
      <c r="M221" s="375">
        <f t="shared" si="54"/>
        <v>6.3954280000000061</v>
      </c>
      <c r="N221" s="375">
        <f t="shared" si="54"/>
        <v>3.0385354999999898</v>
      </c>
      <c r="O221" s="375">
        <f t="shared" si="54"/>
        <v>1.6159675000000013</v>
      </c>
      <c r="P221" s="375">
        <f t="shared" si="54"/>
        <v>2.3760490000000019</v>
      </c>
      <c r="Q221" s="375">
        <f t="shared" si="54"/>
        <v>1.0307340000000009</v>
      </c>
      <c r="R221" s="375">
        <f t="shared" si="54"/>
        <v>0.15234300000000014</v>
      </c>
      <c r="S221" s="375">
        <f t="shared" si="54"/>
        <v>0</v>
      </c>
      <c r="T221" s="375">
        <f t="shared" si="54"/>
        <v>0</v>
      </c>
      <c r="U221" s="375">
        <f t="shared" si="54"/>
        <v>0</v>
      </c>
      <c r="V221" s="375">
        <f t="shared" si="54"/>
        <v>0</v>
      </c>
      <c r="W221" s="375">
        <f t="shared" si="54"/>
        <v>0</v>
      </c>
      <c r="X221" s="375">
        <f t="shared" si="54"/>
        <v>0</v>
      </c>
      <c r="Y221" s="369"/>
    </row>
    <row r="222" spans="1:26" ht="13.5" thickBo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6" ht="13.5" thickBot="1" x14ac:dyDescent="0.25">
      <c r="A223" s="361" t="s">
        <v>384</v>
      </c>
      <c r="B223" s="359">
        <f>ROW(A223)</f>
        <v>223</v>
      </c>
      <c r="C223" s="363" t="s">
        <v>118</v>
      </c>
      <c r="D223" s="353">
        <f>SUM(B226:Y226)</f>
        <v>115.63</v>
      </c>
      <c r="E223" s="363" t="s">
        <v>117</v>
      </c>
      <c r="F223" s="354">
        <f>D223/g/J223</f>
        <v>199.77884897804037</v>
      </c>
      <c r="G223" s="363" t="s">
        <v>59</v>
      </c>
      <c r="H223" s="64">
        <v>0.14499999999999999</v>
      </c>
      <c r="I223" s="363" t="s">
        <v>276</v>
      </c>
      <c r="J223" s="355">
        <f>H223-L223</f>
        <v>5.8999999999999997E-2</v>
      </c>
      <c r="K223" s="363" t="s">
        <v>277</v>
      </c>
      <c r="L223" s="64">
        <v>8.5999999999999993E-2</v>
      </c>
      <c r="M223" s="363" t="s">
        <v>60</v>
      </c>
      <c r="N223" s="65">
        <v>71</v>
      </c>
      <c r="O223" s="363" t="s">
        <v>62</v>
      </c>
      <c r="P223" s="65">
        <v>71</v>
      </c>
      <c r="Q223" s="363" t="s">
        <v>63</v>
      </c>
      <c r="R223" s="65">
        <v>142</v>
      </c>
      <c r="S223" s="363" t="s">
        <v>64</v>
      </c>
      <c r="T223" s="65">
        <v>29</v>
      </c>
      <c r="U223" s="363" t="s">
        <v>57</v>
      </c>
      <c r="V223" s="66" t="s">
        <v>122</v>
      </c>
      <c r="W223" s="463" t="s">
        <v>400</v>
      </c>
      <c r="X223" s="465">
        <v>0.93</v>
      </c>
      <c r="Y223" s="463" t="s">
        <v>399</v>
      </c>
      <c r="Z223" s="358">
        <v>13</v>
      </c>
    </row>
    <row r="224" spans="1:26" x14ac:dyDescent="0.2">
      <c r="A224" s="362" t="s">
        <v>33</v>
      </c>
      <c r="B224" s="370">
        <v>0</v>
      </c>
      <c r="C224" s="371">
        <v>0.01</v>
      </c>
      <c r="D224" s="371">
        <v>0.02</v>
      </c>
      <c r="E224" s="371">
        <v>0.03</v>
      </c>
      <c r="F224" s="371">
        <v>0.04</v>
      </c>
      <c r="G224" s="371">
        <v>0.05</v>
      </c>
      <c r="H224" s="371">
        <v>0.1</v>
      </c>
      <c r="I224" s="371">
        <v>0.2</v>
      </c>
      <c r="J224" s="371">
        <v>0.3</v>
      </c>
      <c r="K224" s="371">
        <v>0.4</v>
      </c>
      <c r="L224" s="371">
        <v>0.6</v>
      </c>
      <c r="M224" s="371">
        <v>0.75</v>
      </c>
      <c r="N224" s="371">
        <v>0.81</v>
      </c>
      <c r="O224" s="371">
        <v>0.86</v>
      </c>
      <c r="P224" s="371">
        <v>0.9</v>
      </c>
      <c r="Q224" s="371">
        <v>0.95</v>
      </c>
      <c r="R224" s="371">
        <v>1</v>
      </c>
      <c r="S224" s="371">
        <v>1</v>
      </c>
      <c r="T224" s="371">
        <v>1</v>
      </c>
      <c r="U224" s="371">
        <v>1</v>
      </c>
      <c r="V224" s="371">
        <v>1</v>
      </c>
      <c r="W224" s="371">
        <v>1</v>
      </c>
      <c r="X224" s="371">
        <v>2</v>
      </c>
      <c r="Y224" s="381">
        <v>1000</v>
      </c>
    </row>
    <row r="225" spans="1:26" x14ac:dyDescent="0.2">
      <c r="A225" s="378" t="s">
        <v>34</v>
      </c>
      <c r="B225" s="372">
        <v>0</v>
      </c>
      <c r="C225" s="376">
        <v>55</v>
      </c>
      <c r="D225" s="376">
        <v>168</v>
      </c>
      <c r="E225" s="376">
        <v>157</v>
      </c>
      <c r="F225" s="376">
        <v>148</v>
      </c>
      <c r="G225" s="376">
        <v>125</v>
      </c>
      <c r="H225" s="376">
        <v>135</v>
      </c>
      <c r="I225" s="376">
        <v>141</v>
      </c>
      <c r="J225" s="376">
        <v>142</v>
      </c>
      <c r="K225" s="376">
        <v>141</v>
      </c>
      <c r="L225" s="376">
        <v>133</v>
      </c>
      <c r="M225" s="376">
        <v>127</v>
      </c>
      <c r="N225" s="376">
        <v>128</v>
      </c>
      <c r="O225" s="376">
        <v>60</v>
      </c>
      <c r="P225" s="376">
        <v>15</v>
      </c>
      <c r="Q225" s="376">
        <v>0</v>
      </c>
      <c r="R225" s="376">
        <v>0</v>
      </c>
      <c r="S225" s="376">
        <v>0</v>
      </c>
      <c r="T225" s="376">
        <v>0</v>
      </c>
      <c r="U225" s="376">
        <v>0</v>
      </c>
      <c r="V225" s="376">
        <v>0</v>
      </c>
      <c r="W225" s="376">
        <v>0</v>
      </c>
      <c r="X225" s="373">
        <v>0</v>
      </c>
      <c r="Y225" s="382">
        <v>0</v>
      </c>
    </row>
    <row r="226" spans="1:26" ht="13.5" thickBot="1" x14ac:dyDescent="0.25">
      <c r="A226" s="379" t="s">
        <v>119</v>
      </c>
      <c r="B226" s="374">
        <f t="shared" ref="B226:X226" si="55">(C225+B225)*(C224-B224)/2</f>
        <v>0.27500000000000002</v>
      </c>
      <c r="C226" s="375">
        <f t="shared" si="55"/>
        <v>1.115</v>
      </c>
      <c r="D226" s="375">
        <f t="shared" si="55"/>
        <v>1.6249999999999998</v>
      </c>
      <c r="E226" s="375">
        <f t="shared" si="55"/>
        <v>1.5250000000000004</v>
      </c>
      <c r="F226" s="375">
        <f t="shared" si="55"/>
        <v>1.3650000000000002</v>
      </c>
      <c r="G226" s="375">
        <f t="shared" si="55"/>
        <v>6.5</v>
      </c>
      <c r="H226" s="375">
        <f t="shared" si="55"/>
        <v>13.8</v>
      </c>
      <c r="I226" s="375">
        <f t="shared" si="55"/>
        <v>14.149999999999997</v>
      </c>
      <c r="J226" s="375">
        <f t="shared" si="55"/>
        <v>14.150000000000004</v>
      </c>
      <c r="K226" s="375">
        <f t="shared" si="55"/>
        <v>27.399999999999995</v>
      </c>
      <c r="L226" s="375">
        <f t="shared" si="55"/>
        <v>19.500000000000004</v>
      </c>
      <c r="M226" s="375">
        <f t="shared" si="55"/>
        <v>7.6500000000000066</v>
      </c>
      <c r="N226" s="375">
        <f t="shared" si="55"/>
        <v>4.699999999999994</v>
      </c>
      <c r="O226" s="375">
        <f t="shared" si="55"/>
        <v>1.5000000000000013</v>
      </c>
      <c r="P226" s="375">
        <f t="shared" si="55"/>
        <v>0.3749999999999995</v>
      </c>
      <c r="Q226" s="375">
        <f t="shared" si="55"/>
        <v>0</v>
      </c>
      <c r="R226" s="375">
        <f t="shared" si="55"/>
        <v>0</v>
      </c>
      <c r="S226" s="375">
        <f t="shared" si="55"/>
        <v>0</v>
      </c>
      <c r="T226" s="375">
        <f t="shared" si="55"/>
        <v>0</v>
      </c>
      <c r="U226" s="375">
        <f t="shared" si="55"/>
        <v>0</v>
      </c>
      <c r="V226" s="375">
        <f t="shared" si="55"/>
        <v>0</v>
      </c>
      <c r="W226" s="375">
        <f t="shared" si="55"/>
        <v>0</v>
      </c>
      <c r="X226" s="375">
        <f t="shared" si="55"/>
        <v>0</v>
      </c>
      <c r="Y226" s="369"/>
    </row>
    <row r="227" spans="1:26" ht="13.5" thickBot="1" x14ac:dyDescent="0.25">
      <c r="A227" s="6" t="s">
        <v>392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6" ht="13.5" thickBot="1" x14ac:dyDescent="0.25">
      <c r="A228" s="361" t="s">
        <v>393</v>
      </c>
      <c r="B228" s="359">
        <f>ROW(A228)</f>
        <v>228</v>
      </c>
      <c r="C228" s="363" t="s">
        <v>118</v>
      </c>
      <c r="D228" s="353">
        <f>SUM(B231:Y231)</f>
        <v>115.63</v>
      </c>
      <c r="E228" s="363" t="s">
        <v>117</v>
      </c>
      <c r="F228" s="354">
        <f>D228/g/J228</f>
        <v>125.39310733728064</v>
      </c>
      <c r="G228" s="363" t="s">
        <v>59</v>
      </c>
      <c r="H228" s="64">
        <v>0.2</v>
      </c>
      <c r="I228" s="363" t="s">
        <v>276</v>
      </c>
      <c r="J228" s="355">
        <f>H228-L228</f>
        <v>9.4000000000000014E-2</v>
      </c>
      <c r="K228" s="363" t="s">
        <v>277</v>
      </c>
      <c r="L228" s="64">
        <v>0.106</v>
      </c>
      <c r="M228" s="363" t="s">
        <v>60</v>
      </c>
      <c r="N228" s="65">
        <v>93</v>
      </c>
      <c r="O228" s="363" t="s">
        <v>62</v>
      </c>
      <c r="P228" s="65">
        <v>93</v>
      </c>
      <c r="Q228" s="363" t="s">
        <v>63</v>
      </c>
      <c r="R228" s="65">
        <v>187</v>
      </c>
      <c r="S228" s="363" t="s">
        <v>64</v>
      </c>
      <c r="T228" s="65">
        <v>29</v>
      </c>
      <c r="U228" s="363" t="s">
        <v>57</v>
      </c>
      <c r="V228" s="66" t="s">
        <v>122</v>
      </c>
      <c r="W228" s="463" t="s">
        <v>400</v>
      </c>
      <c r="X228" s="465">
        <v>0.96</v>
      </c>
      <c r="Y228" s="463" t="s">
        <v>399</v>
      </c>
      <c r="Z228" s="358">
        <v>14</v>
      </c>
    </row>
    <row r="229" spans="1:26" x14ac:dyDescent="0.2">
      <c r="A229" s="362" t="s">
        <v>33</v>
      </c>
      <c r="B229" s="370">
        <v>0</v>
      </c>
      <c r="C229" s="371">
        <v>0.01</v>
      </c>
      <c r="D229" s="371">
        <v>0.02</v>
      </c>
      <c r="E229" s="371">
        <v>0.03</v>
      </c>
      <c r="F229" s="371">
        <v>0.04</v>
      </c>
      <c r="G229" s="371">
        <v>0.05</v>
      </c>
      <c r="H229" s="371">
        <v>0.1</v>
      </c>
      <c r="I229" s="371">
        <v>0.2</v>
      </c>
      <c r="J229" s="371">
        <v>0.3</v>
      </c>
      <c r="K229" s="371">
        <v>0.4</v>
      </c>
      <c r="L229" s="371">
        <v>0.6</v>
      </c>
      <c r="M229" s="371">
        <v>0.75</v>
      </c>
      <c r="N229" s="371">
        <v>0.81</v>
      </c>
      <c r="O229" s="371">
        <v>0.86</v>
      </c>
      <c r="P229" s="371">
        <v>0.9</v>
      </c>
      <c r="Q229" s="371">
        <v>0.95</v>
      </c>
      <c r="R229" s="371">
        <v>1</v>
      </c>
      <c r="S229" s="371">
        <f t="shared" ref="S229:X230" si="56">R229</f>
        <v>1</v>
      </c>
      <c r="T229" s="371">
        <f t="shared" si="56"/>
        <v>1</v>
      </c>
      <c r="U229" s="371">
        <f t="shared" si="56"/>
        <v>1</v>
      </c>
      <c r="V229" s="371">
        <f t="shared" si="56"/>
        <v>1</v>
      </c>
      <c r="W229" s="371">
        <f t="shared" si="56"/>
        <v>1</v>
      </c>
      <c r="X229" s="371">
        <v>2</v>
      </c>
      <c r="Y229" s="381">
        <v>1000</v>
      </c>
    </row>
    <row r="230" spans="1:26" x14ac:dyDescent="0.2">
      <c r="A230" s="378" t="s">
        <v>34</v>
      </c>
      <c r="B230" s="372">
        <v>0</v>
      </c>
      <c r="C230" s="373">
        <v>55</v>
      </c>
      <c r="D230" s="373">
        <v>168</v>
      </c>
      <c r="E230" s="373">
        <v>157</v>
      </c>
      <c r="F230" s="373">
        <v>148</v>
      </c>
      <c r="G230" s="373">
        <v>125</v>
      </c>
      <c r="H230" s="373">
        <v>135</v>
      </c>
      <c r="I230" s="373">
        <v>141</v>
      </c>
      <c r="J230" s="373">
        <v>142</v>
      </c>
      <c r="K230" s="373">
        <v>141</v>
      </c>
      <c r="L230" s="373">
        <v>133</v>
      </c>
      <c r="M230" s="373">
        <v>127</v>
      </c>
      <c r="N230" s="373">
        <v>128</v>
      </c>
      <c r="O230" s="373">
        <v>60</v>
      </c>
      <c r="P230" s="373">
        <v>15</v>
      </c>
      <c r="Q230" s="373">
        <v>0</v>
      </c>
      <c r="R230" s="373">
        <v>0</v>
      </c>
      <c r="S230" s="373">
        <f t="shared" si="56"/>
        <v>0</v>
      </c>
      <c r="T230" s="373">
        <f t="shared" si="56"/>
        <v>0</v>
      </c>
      <c r="U230" s="373">
        <f t="shared" si="56"/>
        <v>0</v>
      </c>
      <c r="V230" s="373">
        <f t="shared" si="56"/>
        <v>0</v>
      </c>
      <c r="W230" s="373">
        <f t="shared" si="56"/>
        <v>0</v>
      </c>
      <c r="X230" s="373">
        <f t="shared" si="56"/>
        <v>0</v>
      </c>
      <c r="Y230" s="382">
        <v>0</v>
      </c>
    </row>
    <row r="231" spans="1:26" ht="13.5" thickBot="1" x14ac:dyDescent="0.25">
      <c r="A231" s="379" t="s">
        <v>119</v>
      </c>
      <c r="B231" s="374">
        <f t="shared" ref="B231:X231" si="57">(C230+B230)*(C229-B229)/2</f>
        <v>0.27500000000000002</v>
      </c>
      <c r="C231" s="375">
        <f t="shared" si="57"/>
        <v>1.115</v>
      </c>
      <c r="D231" s="375">
        <f t="shared" si="57"/>
        <v>1.6249999999999998</v>
      </c>
      <c r="E231" s="375">
        <f t="shared" si="57"/>
        <v>1.5250000000000004</v>
      </c>
      <c r="F231" s="375">
        <f t="shared" si="57"/>
        <v>1.3650000000000002</v>
      </c>
      <c r="G231" s="375">
        <f t="shared" si="57"/>
        <v>6.5</v>
      </c>
      <c r="H231" s="375">
        <f t="shared" si="57"/>
        <v>13.8</v>
      </c>
      <c r="I231" s="375">
        <f t="shared" si="57"/>
        <v>14.149999999999997</v>
      </c>
      <c r="J231" s="375">
        <f t="shared" si="57"/>
        <v>14.150000000000004</v>
      </c>
      <c r="K231" s="375">
        <f t="shared" si="57"/>
        <v>27.399999999999995</v>
      </c>
      <c r="L231" s="375">
        <f t="shared" si="57"/>
        <v>19.500000000000004</v>
      </c>
      <c r="M231" s="375">
        <f t="shared" si="57"/>
        <v>7.6500000000000066</v>
      </c>
      <c r="N231" s="375">
        <f t="shared" si="57"/>
        <v>4.699999999999994</v>
      </c>
      <c r="O231" s="375">
        <f t="shared" si="57"/>
        <v>1.5000000000000013</v>
      </c>
      <c r="P231" s="375">
        <f t="shared" si="57"/>
        <v>0.3749999999999995</v>
      </c>
      <c r="Q231" s="375">
        <f t="shared" si="57"/>
        <v>0</v>
      </c>
      <c r="R231" s="375">
        <f t="shared" si="57"/>
        <v>0</v>
      </c>
      <c r="S231" s="375">
        <f t="shared" si="57"/>
        <v>0</v>
      </c>
      <c r="T231" s="375">
        <f t="shared" si="57"/>
        <v>0</v>
      </c>
      <c r="U231" s="375">
        <f t="shared" si="57"/>
        <v>0</v>
      </c>
      <c r="V231" s="375">
        <f t="shared" si="57"/>
        <v>0</v>
      </c>
      <c r="W231" s="375">
        <f t="shared" si="57"/>
        <v>0</v>
      </c>
      <c r="X231" s="375">
        <f t="shared" si="57"/>
        <v>0</v>
      </c>
      <c r="Y231" s="369"/>
    </row>
    <row r="232" spans="1:26" ht="13.5" thickBot="1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6" ht="13.5" thickBot="1" x14ac:dyDescent="0.25">
      <c r="A233" s="361" t="s">
        <v>398</v>
      </c>
      <c r="B233" s="359">
        <f>ROW(A233)</f>
        <v>233</v>
      </c>
      <c r="C233" s="363" t="s">
        <v>118</v>
      </c>
      <c r="D233" s="353">
        <f>SUM(B236:Y236)</f>
        <v>158.04815100000002</v>
      </c>
      <c r="E233" s="363" t="s">
        <v>117</v>
      </c>
      <c r="F233" s="354">
        <v>198</v>
      </c>
      <c r="G233" s="363" t="s">
        <v>59</v>
      </c>
      <c r="H233" s="64">
        <v>0.19450000000000001</v>
      </c>
      <c r="I233" s="363" t="s">
        <v>276</v>
      </c>
      <c r="J233" s="355">
        <f>H233-L233</f>
        <v>8.9600000000000013E-2</v>
      </c>
      <c r="K233" s="363" t="s">
        <v>277</v>
      </c>
      <c r="L233" s="64">
        <v>0.10489999999999999</v>
      </c>
      <c r="M233" s="363" t="s">
        <v>60</v>
      </c>
      <c r="N233" s="65">
        <v>93</v>
      </c>
      <c r="O233" s="363" t="s">
        <v>62</v>
      </c>
      <c r="P233" s="65">
        <v>93</v>
      </c>
      <c r="Q233" s="363" t="s">
        <v>63</v>
      </c>
      <c r="R233" s="65">
        <v>187</v>
      </c>
      <c r="S233" s="363" t="s">
        <v>64</v>
      </c>
      <c r="T233" s="65">
        <v>29</v>
      </c>
      <c r="U233" s="363" t="s">
        <v>57</v>
      </c>
      <c r="V233" s="66" t="s">
        <v>122</v>
      </c>
      <c r="W233" s="463" t="s">
        <v>400</v>
      </c>
      <c r="X233" s="465">
        <v>1.27</v>
      </c>
      <c r="Y233" s="463" t="s">
        <v>399</v>
      </c>
      <c r="Z233" s="358">
        <v>14</v>
      </c>
    </row>
    <row r="234" spans="1:26" x14ac:dyDescent="0.2">
      <c r="A234" s="362" t="s">
        <v>33</v>
      </c>
      <c r="B234" s="472">
        <v>0</v>
      </c>
      <c r="C234" s="472">
        <v>4.0000000000000001E-3</v>
      </c>
      <c r="D234" s="472">
        <v>2.1999999999999999E-2</v>
      </c>
      <c r="E234" s="472">
        <v>3.9E-2</v>
      </c>
      <c r="F234" s="472">
        <v>0.122</v>
      </c>
      <c r="G234" s="472">
        <v>0.23599999999999999</v>
      </c>
      <c r="H234" s="472">
        <v>0.58899999999999997</v>
      </c>
      <c r="I234" s="472">
        <v>0.80100000000000005</v>
      </c>
      <c r="J234" s="472">
        <v>1.0680000000000001</v>
      </c>
      <c r="K234" s="472">
        <v>1.1180000000000001</v>
      </c>
      <c r="L234" s="472">
        <v>1.145</v>
      </c>
      <c r="M234" s="472">
        <v>1.1739999999999999</v>
      </c>
      <c r="N234" s="472">
        <v>1.2110000000000001</v>
      </c>
      <c r="O234" s="472">
        <v>1.2470000000000001</v>
      </c>
      <c r="P234" s="472">
        <v>1.2989999999999999</v>
      </c>
      <c r="Q234" s="371">
        <v>2</v>
      </c>
      <c r="R234" s="371">
        <v>2</v>
      </c>
      <c r="S234" s="371">
        <f t="shared" ref="S234:X235" si="58">R234</f>
        <v>2</v>
      </c>
      <c r="T234" s="371">
        <f t="shared" si="58"/>
        <v>2</v>
      </c>
      <c r="U234" s="371">
        <f t="shared" si="58"/>
        <v>2</v>
      </c>
      <c r="V234" s="371">
        <f t="shared" si="58"/>
        <v>2</v>
      </c>
      <c r="W234" s="371">
        <f t="shared" si="58"/>
        <v>2</v>
      </c>
      <c r="X234" s="371">
        <f t="shared" si="58"/>
        <v>2</v>
      </c>
      <c r="Y234" s="381">
        <v>1000</v>
      </c>
    </row>
    <row r="235" spans="1:26" x14ac:dyDescent="0.2">
      <c r="A235" s="378" t="s">
        <v>34</v>
      </c>
      <c r="B235" s="472">
        <v>0</v>
      </c>
      <c r="C235" s="472">
        <v>15.683</v>
      </c>
      <c r="D235" s="472">
        <v>170.834</v>
      </c>
      <c r="E235" s="472">
        <v>116.877</v>
      </c>
      <c r="F235" s="472">
        <v>142.642</v>
      </c>
      <c r="G235" s="472">
        <v>149.73699999999999</v>
      </c>
      <c r="H235" s="472">
        <v>142.642</v>
      </c>
      <c r="I235" s="472">
        <v>131.25299999999999</v>
      </c>
      <c r="J235" s="472">
        <v>122.104</v>
      </c>
      <c r="K235" s="472">
        <v>107.91500000000001</v>
      </c>
      <c r="L235" s="472">
        <v>78.415999999999997</v>
      </c>
      <c r="M235" s="472">
        <v>43.128999999999998</v>
      </c>
      <c r="N235" s="472">
        <v>21.471</v>
      </c>
      <c r="O235" s="472">
        <v>8.7750000000000004</v>
      </c>
      <c r="P235" s="472">
        <v>0</v>
      </c>
      <c r="Q235" s="373">
        <v>0</v>
      </c>
      <c r="R235" s="373">
        <v>0</v>
      </c>
      <c r="S235" s="373">
        <f t="shared" si="58"/>
        <v>0</v>
      </c>
      <c r="T235" s="373">
        <f t="shared" si="58"/>
        <v>0</v>
      </c>
      <c r="U235" s="373">
        <f t="shared" si="58"/>
        <v>0</v>
      </c>
      <c r="V235" s="373">
        <f t="shared" si="58"/>
        <v>0</v>
      </c>
      <c r="W235" s="373">
        <f t="shared" si="58"/>
        <v>0</v>
      </c>
      <c r="X235" s="373">
        <f t="shared" si="58"/>
        <v>0</v>
      </c>
      <c r="Y235" s="382">
        <v>0</v>
      </c>
    </row>
    <row r="236" spans="1:26" ht="13.5" thickBot="1" x14ac:dyDescent="0.25">
      <c r="A236" s="379" t="s">
        <v>119</v>
      </c>
      <c r="B236" s="374">
        <f t="shared" ref="B236:X236" si="59">(C235+B235)*(C234-B234)/2</f>
        <v>3.1365999999999998E-2</v>
      </c>
      <c r="C236" s="375">
        <f t="shared" si="59"/>
        <v>1.6786529999999997</v>
      </c>
      <c r="D236" s="375">
        <f t="shared" si="59"/>
        <v>2.4455435000000003</v>
      </c>
      <c r="E236" s="375">
        <f t="shared" si="59"/>
        <v>10.770038499999998</v>
      </c>
      <c r="F236" s="375">
        <f t="shared" si="59"/>
        <v>16.665603000000001</v>
      </c>
      <c r="G236" s="375">
        <f t="shared" si="59"/>
        <v>51.604893500000003</v>
      </c>
      <c r="H236" s="375">
        <f t="shared" si="59"/>
        <v>29.03287000000001</v>
      </c>
      <c r="I236" s="375">
        <f t="shared" si="59"/>
        <v>33.823159499999996</v>
      </c>
      <c r="J236" s="375">
        <f t="shared" si="59"/>
        <v>5.7504750000000051</v>
      </c>
      <c r="K236" s="375">
        <f t="shared" si="59"/>
        <v>2.5154684999999923</v>
      </c>
      <c r="L236" s="375">
        <f t="shared" si="59"/>
        <v>1.7624024999999945</v>
      </c>
      <c r="M236" s="375">
        <f t="shared" si="59"/>
        <v>1.1951000000000045</v>
      </c>
      <c r="N236" s="375">
        <f t="shared" si="59"/>
        <v>0.54442800000000058</v>
      </c>
      <c r="O236" s="375">
        <f t="shared" si="59"/>
        <v>0.22814999999999924</v>
      </c>
      <c r="P236" s="375">
        <f t="shared" si="59"/>
        <v>0</v>
      </c>
      <c r="Q236" s="375">
        <f t="shared" si="59"/>
        <v>0</v>
      </c>
      <c r="R236" s="375">
        <f t="shared" si="59"/>
        <v>0</v>
      </c>
      <c r="S236" s="375">
        <f t="shared" si="59"/>
        <v>0</v>
      </c>
      <c r="T236" s="375">
        <f t="shared" si="59"/>
        <v>0</v>
      </c>
      <c r="U236" s="375">
        <f t="shared" si="59"/>
        <v>0</v>
      </c>
      <c r="V236" s="375">
        <f t="shared" si="59"/>
        <v>0</v>
      </c>
      <c r="W236" s="375">
        <f t="shared" si="59"/>
        <v>0</v>
      </c>
      <c r="X236" s="375">
        <f t="shared" si="59"/>
        <v>0</v>
      </c>
      <c r="Y236" s="369"/>
    </row>
    <row r="237" spans="1:26" ht="13.5" thickBot="1" x14ac:dyDescent="0.25">
      <c r="A237" s="6" t="s">
        <v>380</v>
      </c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6" ht="13.5" thickBot="1" x14ac:dyDescent="0.25">
      <c r="A238" s="361" t="s">
        <v>385</v>
      </c>
      <c r="B238" s="359">
        <f>ROW(A238)</f>
        <v>238</v>
      </c>
      <c r="C238" s="363" t="s">
        <v>118</v>
      </c>
      <c r="D238" s="353">
        <f>SUM(B241:Y241)</f>
        <v>136.75235000000001</v>
      </c>
      <c r="E238" s="363" t="s">
        <v>117</v>
      </c>
      <c r="F238" s="354">
        <f>D238/g/J238</f>
        <v>152.35078513616639</v>
      </c>
      <c r="G238" s="363" t="s">
        <v>59</v>
      </c>
      <c r="H238" s="64">
        <v>0.21249999999999999</v>
      </c>
      <c r="I238" s="363" t="s">
        <v>276</v>
      </c>
      <c r="J238" s="355">
        <f>H238-L238</f>
        <v>9.1499999999999998E-2</v>
      </c>
      <c r="K238" s="363" t="s">
        <v>277</v>
      </c>
      <c r="L238" s="64">
        <v>0.121</v>
      </c>
      <c r="M238" s="363" t="s">
        <v>60</v>
      </c>
      <c r="N238" s="65">
        <v>63</v>
      </c>
      <c r="O238" s="363" t="s">
        <v>62</v>
      </c>
      <c r="P238" s="65">
        <v>114</v>
      </c>
      <c r="Q238" s="363" t="s">
        <v>63</v>
      </c>
      <c r="R238" s="65">
        <v>127</v>
      </c>
      <c r="S238" s="363" t="s">
        <v>64</v>
      </c>
      <c r="T238" s="65">
        <v>38</v>
      </c>
      <c r="U238" s="363" t="s">
        <v>57</v>
      </c>
      <c r="V238" s="66" t="s">
        <v>122</v>
      </c>
      <c r="W238" s="463" t="s">
        <v>400</v>
      </c>
      <c r="X238" s="465">
        <v>2.36</v>
      </c>
      <c r="Y238" s="463" t="s">
        <v>399</v>
      </c>
      <c r="Z238" s="358">
        <v>13</v>
      </c>
    </row>
    <row r="239" spans="1:26" x14ac:dyDescent="0.2">
      <c r="A239" s="362" t="s">
        <v>33</v>
      </c>
      <c r="B239" s="370">
        <v>0</v>
      </c>
      <c r="C239" s="371">
        <v>2.9000000000000001E-2</v>
      </c>
      <c r="D239" s="371">
        <v>4.5999999999999999E-2</v>
      </c>
      <c r="E239" s="371">
        <v>5.8000000000000003E-2</v>
      </c>
      <c r="F239" s="371">
        <v>8.4000000000000005E-2</v>
      </c>
      <c r="G239" s="371">
        <v>0.17100000000000001</v>
      </c>
      <c r="H239" s="371">
        <v>0.28000000000000003</v>
      </c>
      <c r="I239" s="371">
        <v>0.45500000000000002</v>
      </c>
      <c r="J239" s="371">
        <v>0.58599999999999997</v>
      </c>
      <c r="K239" s="371">
        <v>0.74099999999999999</v>
      </c>
      <c r="L239" s="371">
        <v>0.95199999999999996</v>
      </c>
      <c r="M239" s="371">
        <v>1.2170000000000001</v>
      </c>
      <c r="N239" s="371">
        <v>1.43</v>
      </c>
      <c r="O239" s="371">
        <v>1.6259999999999999</v>
      </c>
      <c r="P239" s="371">
        <v>1.8069999999999999</v>
      </c>
      <c r="Q239" s="371">
        <v>1.9590000000000001</v>
      </c>
      <c r="R239" s="371">
        <v>2.1040000000000001</v>
      </c>
      <c r="S239" s="371">
        <v>2.1680000000000001</v>
      </c>
      <c r="T239" s="371">
        <v>2.21</v>
      </c>
      <c r="U239" s="371">
        <v>2.2469999999999999</v>
      </c>
      <c r="V239" s="371">
        <v>2.3290000000000002</v>
      </c>
      <c r="W239" s="371">
        <f>2.4</f>
        <v>2.4</v>
      </c>
      <c r="X239" s="371">
        <f>W239</f>
        <v>2.4</v>
      </c>
      <c r="Y239" s="381">
        <v>1000</v>
      </c>
    </row>
    <row r="240" spans="1:26" x14ac:dyDescent="0.2">
      <c r="A240" s="378" t="s">
        <v>34</v>
      </c>
      <c r="B240" s="372">
        <v>0</v>
      </c>
      <c r="C240" s="373">
        <v>90.25</v>
      </c>
      <c r="D240" s="373">
        <v>69.17</v>
      </c>
      <c r="E240" s="373">
        <v>59.947000000000003</v>
      </c>
      <c r="F240" s="373">
        <v>47.167000000000002</v>
      </c>
      <c r="G240" s="373">
        <v>57.970999999999997</v>
      </c>
      <c r="H240" s="373">
        <v>59.552</v>
      </c>
      <c r="I240" s="373">
        <v>61.265000000000001</v>
      </c>
      <c r="J240" s="373">
        <v>61.66</v>
      </c>
      <c r="K240" s="373">
        <v>62.319000000000003</v>
      </c>
      <c r="L240" s="373">
        <v>63.768000000000001</v>
      </c>
      <c r="M240" s="373">
        <v>64.69</v>
      </c>
      <c r="N240" s="373">
        <v>63.768000000000001</v>
      </c>
      <c r="O240" s="373">
        <v>61.265000000000001</v>
      </c>
      <c r="P240" s="373">
        <v>58.103000000000002</v>
      </c>
      <c r="Q240" s="373">
        <v>53.887</v>
      </c>
      <c r="R240" s="373">
        <v>48.353000000000002</v>
      </c>
      <c r="S240" s="373">
        <v>47.563000000000002</v>
      </c>
      <c r="T240" s="373">
        <v>44.005000000000003</v>
      </c>
      <c r="U240" s="373">
        <v>37.286000000000001</v>
      </c>
      <c r="V240" s="373">
        <v>22.265999999999998</v>
      </c>
      <c r="W240" s="373">
        <v>0</v>
      </c>
      <c r="X240" s="373">
        <f>W240</f>
        <v>0</v>
      </c>
      <c r="Y240" s="382">
        <v>0</v>
      </c>
    </row>
    <row r="241" spans="1:26" ht="13.5" thickBot="1" x14ac:dyDescent="0.25">
      <c r="A241" s="379" t="s">
        <v>119</v>
      </c>
      <c r="B241" s="374">
        <f t="shared" ref="B241:X241" si="60">(C240+B240)*(C239-B239)/2</f>
        <v>1.3086250000000001</v>
      </c>
      <c r="C241" s="375">
        <f t="shared" si="60"/>
        <v>1.35507</v>
      </c>
      <c r="D241" s="375">
        <f t="shared" si="60"/>
        <v>0.77470200000000033</v>
      </c>
      <c r="E241" s="375">
        <f t="shared" si="60"/>
        <v>1.3924820000000002</v>
      </c>
      <c r="F241" s="375">
        <f t="shared" si="60"/>
        <v>4.5735030000000005</v>
      </c>
      <c r="G241" s="375">
        <f t="shared" si="60"/>
        <v>6.4050035000000003</v>
      </c>
      <c r="H241" s="375">
        <f t="shared" si="60"/>
        <v>10.5714875</v>
      </c>
      <c r="I241" s="375">
        <f t="shared" si="60"/>
        <v>8.0515874999999966</v>
      </c>
      <c r="J241" s="375">
        <f t="shared" si="60"/>
        <v>9.6083725000000015</v>
      </c>
      <c r="K241" s="375">
        <f t="shared" si="60"/>
        <v>13.302178499999998</v>
      </c>
      <c r="L241" s="375">
        <f t="shared" si="60"/>
        <v>17.020685000000007</v>
      </c>
      <c r="M241" s="375">
        <f t="shared" si="60"/>
        <v>13.68077699999999</v>
      </c>
      <c r="N241" s="375">
        <f t="shared" si="60"/>
        <v>12.253233999999997</v>
      </c>
      <c r="O241" s="375">
        <f t="shared" si="60"/>
        <v>10.802804000000002</v>
      </c>
      <c r="P241" s="375">
        <f t="shared" si="60"/>
        <v>8.5112400000000079</v>
      </c>
      <c r="Q241" s="375">
        <f t="shared" si="60"/>
        <v>7.4124000000000017</v>
      </c>
      <c r="R241" s="375">
        <f t="shared" si="60"/>
        <v>3.0693120000000027</v>
      </c>
      <c r="S241" s="375">
        <f t="shared" si="60"/>
        <v>1.9229279999999918</v>
      </c>
      <c r="T241" s="375">
        <f t="shared" si="60"/>
        <v>1.5038834999999968</v>
      </c>
      <c r="U241" s="375">
        <f t="shared" si="60"/>
        <v>2.4416320000000087</v>
      </c>
      <c r="V241" s="375">
        <f t="shared" si="60"/>
        <v>0.7904429999999969</v>
      </c>
      <c r="W241" s="375">
        <f t="shared" si="60"/>
        <v>0</v>
      </c>
      <c r="X241" s="375">
        <f t="shared" si="60"/>
        <v>0</v>
      </c>
      <c r="Y241" s="369"/>
    </row>
    <row r="242" spans="1:26" ht="13.5" thickBot="1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6" ht="13.5" thickBot="1" x14ac:dyDescent="0.25">
      <c r="A243" s="361" t="s">
        <v>386</v>
      </c>
      <c r="B243" s="359">
        <f>ROW(A243)</f>
        <v>243</v>
      </c>
      <c r="C243" s="363" t="s">
        <v>118</v>
      </c>
      <c r="D243" s="353">
        <f>SUM(B246:Y246)</f>
        <v>127.06944999999999</v>
      </c>
      <c r="E243" s="363" t="s">
        <v>117</v>
      </c>
      <c r="F243" s="354">
        <f>D243/g/J243</f>
        <v>180.65624835614466</v>
      </c>
      <c r="G243" s="363" t="s">
        <v>59</v>
      </c>
      <c r="H243" s="64">
        <v>0.18840000000000001</v>
      </c>
      <c r="I243" s="363" t="s">
        <v>276</v>
      </c>
      <c r="J243" s="355">
        <f>H243-L243</f>
        <v>7.1700000000000014E-2</v>
      </c>
      <c r="K243" s="363" t="s">
        <v>277</v>
      </c>
      <c r="L243" s="64">
        <v>0.1167</v>
      </c>
      <c r="M243" s="363" t="s">
        <v>60</v>
      </c>
      <c r="N243" s="65">
        <v>63</v>
      </c>
      <c r="O243" s="363" t="s">
        <v>62</v>
      </c>
      <c r="P243" s="65">
        <v>114</v>
      </c>
      <c r="Q243" s="363" t="s">
        <v>63</v>
      </c>
      <c r="R243" s="65">
        <v>127</v>
      </c>
      <c r="S243" s="363" t="s">
        <v>64</v>
      </c>
      <c r="T243" s="65">
        <v>38</v>
      </c>
      <c r="U243" s="363" t="s">
        <v>57</v>
      </c>
      <c r="V243" s="66" t="s">
        <v>122</v>
      </c>
      <c r="W243" s="463" t="s">
        <v>400</v>
      </c>
      <c r="X243" s="465">
        <v>0.69</v>
      </c>
      <c r="Y243" s="463" t="s">
        <v>399</v>
      </c>
      <c r="Z243" s="358">
        <v>12</v>
      </c>
    </row>
    <row r="244" spans="1:26" x14ac:dyDescent="0.2">
      <c r="A244" s="362" t="s">
        <v>33</v>
      </c>
      <c r="B244" s="370">
        <v>0</v>
      </c>
      <c r="C244" s="371">
        <v>0.01</v>
      </c>
      <c r="D244" s="371">
        <v>0.02</v>
      </c>
      <c r="E244" s="371">
        <v>0.05</v>
      </c>
      <c r="F244" s="371">
        <v>0.1</v>
      </c>
      <c r="G244" s="371">
        <v>0.2</v>
      </c>
      <c r="H244" s="371">
        <v>0.3</v>
      </c>
      <c r="I244" s="371">
        <v>0.35</v>
      </c>
      <c r="J244" s="371">
        <v>0.4</v>
      </c>
      <c r="K244" s="371">
        <v>0.45</v>
      </c>
      <c r="L244" s="371">
        <v>0.5</v>
      </c>
      <c r="M244" s="371">
        <v>0.55000000000000004</v>
      </c>
      <c r="N244" s="371">
        <v>0.6</v>
      </c>
      <c r="O244" s="371">
        <v>0.61</v>
      </c>
      <c r="P244" s="371">
        <v>0.63</v>
      </c>
      <c r="Q244" s="371">
        <v>0.64</v>
      </c>
      <c r="R244" s="371">
        <v>0.65</v>
      </c>
      <c r="S244" s="371">
        <v>0.67</v>
      </c>
      <c r="T244" s="371">
        <v>0.68</v>
      </c>
      <c r="U244" s="371">
        <v>0.69</v>
      </c>
      <c r="V244" s="371">
        <f t="shared" ref="V244:X245" si="61">U244</f>
        <v>0.69</v>
      </c>
      <c r="W244" s="371">
        <f t="shared" si="61"/>
        <v>0.69</v>
      </c>
      <c r="X244" s="371">
        <v>2</v>
      </c>
      <c r="Y244" s="381">
        <v>1000</v>
      </c>
    </row>
    <row r="245" spans="1:26" x14ac:dyDescent="0.2">
      <c r="A245" s="378" t="s">
        <v>34</v>
      </c>
      <c r="B245" s="372">
        <v>0</v>
      </c>
      <c r="C245" s="373">
        <v>108.72</v>
      </c>
      <c r="D245" s="373">
        <v>131.19</v>
      </c>
      <c r="E245" s="373">
        <v>153.13999999999999</v>
      </c>
      <c r="F245" s="373">
        <v>168.97</v>
      </c>
      <c r="G245" s="373">
        <v>189.92</v>
      </c>
      <c r="H245" s="373">
        <v>199.95</v>
      </c>
      <c r="I245" s="373">
        <v>203.59</v>
      </c>
      <c r="J245" s="373">
        <v>205.03</v>
      </c>
      <c r="K245" s="373">
        <v>202.6</v>
      </c>
      <c r="L245" s="373">
        <v>203.06</v>
      </c>
      <c r="M245" s="373">
        <v>199.34</v>
      </c>
      <c r="N245" s="373">
        <v>194.71</v>
      </c>
      <c r="O245" s="373">
        <v>194.1</v>
      </c>
      <c r="P245" s="373">
        <v>193.49</v>
      </c>
      <c r="Q245" s="373">
        <v>193.68</v>
      </c>
      <c r="R245" s="373">
        <v>202.91</v>
      </c>
      <c r="S245" s="373">
        <v>163.38999999999999</v>
      </c>
      <c r="T245" s="373">
        <v>80.44</v>
      </c>
      <c r="U245" s="373">
        <v>0</v>
      </c>
      <c r="V245" s="373">
        <f t="shared" si="61"/>
        <v>0</v>
      </c>
      <c r="W245" s="373">
        <f t="shared" si="61"/>
        <v>0</v>
      </c>
      <c r="X245" s="373">
        <f t="shared" si="61"/>
        <v>0</v>
      </c>
      <c r="Y245" s="382">
        <v>0</v>
      </c>
    </row>
    <row r="246" spans="1:26" ht="13.5" thickBot="1" x14ac:dyDescent="0.25">
      <c r="A246" s="379" t="s">
        <v>119</v>
      </c>
      <c r="B246" s="374">
        <f t="shared" ref="B246:X246" si="62">(C245+B245)*(C244-B244)/2</f>
        <v>0.54359999999999997</v>
      </c>
      <c r="C246" s="375">
        <f t="shared" si="62"/>
        <v>1.1995500000000001</v>
      </c>
      <c r="D246" s="375">
        <f t="shared" si="62"/>
        <v>4.2649499999999998</v>
      </c>
      <c r="E246" s="375">
        <f t="shared" si="62"/>
        <v>8.0527500000000014</v>
      </c>
      <c r="F246" s="375">
        <f t="shared" si="62"/>
        <v>17.944500000000001</v>
      </c>
      <c r="G246" s="375">
        <f t="shared" si="62"/>
        <v>19.493499999999997</v>
      </c>
      <c r="H246" s="375">
        <f t="shared" si="62"/>
        <v>10.088499999999996</v>
      </c>
      <c r="I246" s="375">
        <f t="shared" si="62"/>
        <v>10.215500000000009</v>
      </c>
      <c r="J246" s="375">
        <f t="shared" si="62"/>
        <v>10.190749999999998</v>
      </c>
      <c r="K246" s="375">
        <f t="shared" si="62"/>
        <v>10.141499999999997</v>
      </c>
      <c r="L246" s="375">
        <f t="shared" si="62"/>
        <v>10.060000000000008</v>
      </c>
      <c r="M246" s="375">
        <f t="shared" si="62"/>
        <v>9.8512499999999878</v>
      </c>
      <c r="N246" s="375">
        <f t="shared" si="62"/>
        <v>1.9440500000000018</v>
      </c>
      <c r="O246" s="375">
        <f t="shared" si="62"/>
        <v>3.8759000000000037</v>
      </c>
      <c r="P246" s="375">
        <f t="shared" si="62"/>
        <v>1.9358500000000018</v>
      </c>
      <c r="Q246" s="375">
        <f t="shared" si="62"/>
        <v>1.982950000000002</v>
      </c>
      <c r="R246" s="375">
        <f t="shared" si="62"/>
        <v>3.6630000000000029</v>
      </c>
      <c r="S246" s="375">
        <f t="shared" si="62"/>
        <v>1.2191500000000011</v>
      </c>
      <c r="T246" s="375">
        <f t="shared" si="62"/>
        <v>0.40219999999999589</v>
      </c>
      <c r="U246" s="375">
        <f t="shared" si="62"/>
        <v>0</v>
      </c>
      <c r="V246" s="375">
        <f t="shared" si="62"/>
        <v>0</v>
      </c>
      <c r="W246" s="375">
        <f t="shared" si="62"/>
        <v>0</v>
      </c>
      <c r="X246" s="375">
        <f t="shared" si="62"/>
        <v>0</v>
      </c>
      <c r="Y246" s="369"/>
    </row>
    <row r="247" spans="1:26" ht="13.5" thickBo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6" ht="13.5" thickBot="1" x14ac:dyDescent="0.25">
      <c r="A248" s="361" t="s">
        <v>394</v>
      </c>
      <c r="B248" s="359">
        <f>ROW(A248)</f>
        <v>248</v>
      </c>
      <c r="C248" s="363" t="s">
        <v>118</v>
      </c>
      <c r="D248" s="353">
        <f>SUM(B251:Y251)</f>
        <v>142.7236025</v>
      </c>
      <c r="E248" s="363" t="s">
        <v>117</v>
      </c>
      <c r="F248" s="354">
        <v>208</v>
      </c>
      <c r="G248" s="363" t="s">
        <v>59</v>
      </c>
      <c r="H248" s="64">
        <v>0.19700000000000001</v>
      </c>
      <c r="I248" s="363" t="s">
        <v>276</v>
      </c>
      <c r="J248" s="355">
        <f>H248-L248</f>
        <v>7.0000000000000007E-2</v>
      </c>
      <c r="K248" s="363" t="s">
        <v>277</v>
      </c>
      <c r="L248" s="64">
        <v>0.127</v>
      </c>
      <c r="M248" s="363" t="s">
        <v>60</v>
      </c>
      <c r="N248" s="65">
        <v>63</v>
      </c>
      <c r="O248" s="363" t="s">
        <v>62</v>
      </c>
      <c r="P248" s="65">
        <v>114</v>
      </c>
      <c r="Q248" s="363" t="s">
        <v>63</v>
      </c>
      <c r="R248" s="65">
        <v>127</v>
      </c>
      <c r="S248" s="363" t="s">
        <v>64</v>
      </c>
      <c r="T248" s="65">
        <v>38</v>
      </c>
      <c r="U248" s="363" t="s">
        <v>57</v>
      </c>
      <c r="V248" s="66" t="s">
        <v>122</v>
      </c>
      <c r="W248" s="463" t="s">
        <v>400</v>
      </c>
      <c r="X248" s="465">
        <v>1.8</v>
      </c>
      <c r="Y248" s="463" t="s">
        <v>399</v>
      </c>
      <c r="Z248" s="358">
        <v>15</v>
      </c>
    </row>
    <row r="249" spans="1:26" x14ac:dyDescent="0.2">
      <c r="A249" s="362" t="s">
        <v>33</v>
      </c>
      <c r="B249" s="370">
        <v>0</v>
      </c>
      <c r="C249" s="370">
        <v>6.0000000000000001E-3</v>
      </c>
      <c r="D249" s="371">
        <v>1.7999999999999999E-2</v>
      </c>
      <c r="E249" s="371">
        <v>3.5999999999999997E-2</v>
      </c>
      <c r="F249" s="371">
        <v>4.7E-2</v>
      </c>
      <c r="G249" s="371">
        <v>8.4000000000000005E-2</v>
      </c>
      <c r="H249" s="371">
        <v>0.13500000000000001</v>
      </c>
      <c r="I249" s="371">
        <v>0.23799999999999999</v>
      </c>
      <c r="J249" s="371">
        <v>0.438</v>
      </c>
      <c r="K249" s="371">
        <v>0.63</v>
      </c>
      <c r="L249" s="371">
        <v>0.85899999999999999</v>
      </c>
      <c r="M249" s="371">
        <v>1.2829999999999999</v>
      </c>
      <c r="N249" s="371">
        <v>1.4470000000000001</v>
      </c>
      <c r="O249" s="371">
        <v>1.643</v>
      </c>
      <c r="P249" s="371">
        <v>1.7130000000000001</v>
      </c>
      <c r="Q249" s="371">
        <v>1.7430000000000001</v>
      </c>
      <c r="R249" s="371">
        <v>1.79</v>
      </c>
      <c r="S249" s="371">
        <v>1.8180000000000001</v>
      </c>
      <c r="T249" s="371">
        <v>1.8520000000000001</v>
      </c>
      <c r="U249" s="371">
        <v>2</v>
      </c>
      <c r="V249" s="371">
        <f t="shared" ref="V249:X250" si="63">U249</f>
        <v>2</v>
      </c>
      <c r="W249" s="371">
        <f t="shared" si="63"/>
        <v>2</v>
      </c>
      <c r="X249" s="371">
        <f t="shared" si="63"/>
        <v>2</v>
      </c>
      <c r="Y249" s="381">
        <v>1000</v>
      </c>
    </row>
    <row r="250" spans="1:26" x14ac:dyDescent="0.2">
      <c r="A250" s="378" t="s">
        <v>34</v>
      </c>
      <c r="B250" s="372">
        <v>0</v>
      </c>
      <c r="C250" s="372">
        <v>104.068</v>
      </c>
      <c r="D250" s="373">
        <v>137.928</v>
      </c>
      <c r="E250" s="373">
        <v>70.706999999999994</v>
      </c>
      <c r="F250" s="373">
        <v>62.241999999999997</v>
      </c>
      <c r="G250" s="373">
        <v>73.694000000000003</v>
      </c>
      <c r="H250" s="373">
        <v>78.176000000000002</v>
      </c>
      <c r="I250" s="373">
        <v>84.150999999999996</v>
      </c>
      <c r="J250" s="373">
        <v>89.628</v>
      </c>
      <c r="K250" s="373">
        <v>88.135000000000005</v>
      </c>
      <c r="L250" s="373">
        <v>87.138999999999996</v>
      </c>
      <c r="M250" s="373">
        <v>77.180000000000007</v>
      </c>
      <c r="N250" s="373">
        <v>70.706999999999994</v>
      </c>
      <c r="O250" s="373">
        <v>67.718999999999994</v>
      </c>
      <c r="P250" s="373">
        <v>64.233999999999995</v>
      </c>
      <c r="Q250" s="373">
        <v>54.274999999999999</v>
      </c>
      <c r="R250" s="373">
        <v>18.423999999999999</v>
      </c>
      <c r="S250" s="373">
        <v>6.4729999999999999</v>
      </c>
      <c r="T250" s="373">
        <v>0</v>
      </c>
      <c r="U250" s="373">
        <v>0</v>
      </c>
      <c r="V250" s="373">
        <f t="shared" si="63"/>
        <v>0</v>
      </c>
      <c r="W250" s="373">
        <f t="shared" si="63"/>
        <v>0</v>
      </c>
      <c r="X250" s="373">
        <f t="shared" si="63"/>
        <v>0</v>
      </c>
      <c r="Y250" s="382">
        <v>0</v>
      </c>
    </row>
    <row r="251" spans="1:26" ht="13.5" thickBot="1" x14ac:dyDescent="0.25">
      <c r="A251" s="379" t="s">
        <v>119</v>
      </c>
      <c r="B251" s="374">
        <f t="shared" ref="B251:X251" si="64">(C250+B250)*(C249-B249)/2</f>
        <v>0.31220399999999998</v>
      </c>
      <c r="C251" s="375">
        <f t="shared" si="64"/>
        <v>1.4519759999999997</v>
      </c>
      <c r="D251" s="375">
        <f t="shared" si="64"/>
        <v>1.8777149999999998</v>
      </c>
      <c r="E251" s="375">
        <f t="shared" si="64"/>
        <v>0.73121950000000013</v>
      </c>
      <c r="F251" s="375">
        <f t="shared" si="64"/>
        <v>2.5148160000000006</v>
      </c>
      <c r="G251" s="375">
        <f t="shared" si="64"/>
        <v>3.8726850000000006</v>
      </c>
      <c r="H251" s="375">
        <f t="shared" si="64"/>
        <v>8.3598404999999989</v>
      </c>
      <c r="I251" s="375">
        <f t="shared" si="64"/>
        <v>17.3779</v>
      </c>
      <c r="J251" s="375">
        <f t="shared" si="64"/>
        <v>17.065248</v>
      </c>
      <c r="K251" s="375">
        <f t="shared" si="64"/>
        <v>20.068873</v>
      </c>
      <c r="L251" s="375">
        <f t="shared" si="64"/>
        <v>34.835628</v>
      </c>
      <c r="M251" s="375">
        <f t="shared" si="64"/>
        <v>12.126734000000011</v>
      </c>
      <c r="N251" s="375">
        <f t="shared" si="64"/>
        <v>13.565747999999996</v>
      </c>
      <c r="O251" s="375">
        <f t="shared" si="64"/>
        <v>4.6183550000000029</v>
      </c>
      <c r="P251" s="375">
        <f t="shared" si="64"/>
        <v>1.7776350000000014</v>
      </c>
      <c r="Q251" s="375">
        <f t="shared" si="64"/>
        <v>1.7084264999999974</v>
      </c>
      <c r="R251" s="375">
        <f t="shared" si="64"/>
        <v>0.34855800000000031</v>
      </c>
      <c r="S251" s="375">
        <f t="shared" si="64"/>
        <v>0.1100410000000001</v>
      </c>
      <c r="T251" s="375">
        <f t="shared" si="64"/>
        <v>0</v>
      </c>
      <c r="U251" s="375">
        <f t="shared" si="64"/>
        <v>0</v>
      </c>
      <c r="V251" s="375">
        <f t="shared" si="64"/>
        <v>0</v>
      </c>
      <c r="W251" s="375">
        <f t="shared" si="64"/>
        <v>0</v>
      </c>
      <c r="X251" s="375">
        <f t="shared" si="64"/>
        <v>0</v>
      </c>
      <c r="Y251" s="369"/>
    </row>
    <row r="252" spans="1:26" ht="13.5" thickBo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6" ht="13.5" thickBot="1" x14ac:dyDescent="0.25">
      <c r="A253" s="361" t="s">
        <v>279</v>
      </c>
      <c r="B253" s="360">
        <f>ROW(A253)</f>
        <v>253</v>
      </c>
      <c r="C253" s="363" t="s">
        <v>118</v>
      </c>
      <c r="D253" s="353">
        <f>SUM(B256:Y256)</f>
        <v>33.500000000000007</v>
      </c>
      <c r="E253" s="363" t="s">
        <v>117</v>
      </c>
      <c r="F253" s="354">
        <f>D253/g/J253</f>
        <v>68.297655453618759</v>
      </c>
      <c r="G253" s="363" t="s">
        <v>59</v>
      </c>
      <c r="H253" s="64">
        <v>8.5000000000000006E-2</v>
      </c>
      <c r="I253" s="363" t="s">
        <v>276</v>
      </c>
      <c r="J253" s="355">
        <f>H253-L253</f>
        <v>0.05</v>
      </c>
      <c r="K253" s="363" t="s">
        <v>277</v>
      </c>
      <c r="L253" s="64">
        <v>3.5000000000000003E-2</v>
      </c>
      <c r="M253" s="363" t="s">
        <v>60</v>
      </c>
      <c r="N253" s="65">
        <v>20</v>
      </c>
      <c r="O253" s="363" t="s">
        <v>62</v>
      </c>
      <c r="P253" s="65">
        <v>20</v>
      </c>
      <c r="Q253" s="363" t="s">
        <v>63</v>
      </c>
      <c r="R253" s="65">
        <v>39</v>
      </c>
      <c r="S253" s="363" t="s">
        <v>64</v>
      </c>
      <c r="T253" s="65">
        <v>39</v>
      </c>
      <c r="U253" s="363" t="s">
        <v>57</v>
      </c>
      <c r="V253" s="66" t="s">
        <v>407</v>
      </c>
      <c r="W253" s="12"/>
      <c r="X253" s="12"/>
      <c r="Y253" s="12"/>
    </row>
    <row r="254" spans="1:26" x14ac:dyDescent="0.2">
      <c r="A254" s="362" t="s">
        <v>33</v>
      </c>
      <c r="B254" s="370">
        <v>0</v>
      </c>
      <c r="C254" s="371">
        <v>0.05</v>
      </c>
      <c r="D254" s="371">
        <v>0.1</v>
      </c>
      <c r="E254" s="371">
        <v>0.25</v>
      </c>
      <c r="F254" s="371">
        <v>0.3</v>
      </c>
      <c r="G254" s="371">
        <v>0.35</v>
      </c>
      <c r="H254" s="371">
        <v>0.45</v>
      </c>
      <c r="I254" s="371">
        <v>0.55000000000000004</v>
      </c>
      <c r="J254" s="371">
        <v>3.5</v>
      </c>
      <c r="K254" s="371">
        <v>3.6</v>
      </c>
      <c r="L254" s="371">
        <v>3.6</v>
      </c>
      <c r="M254" s="371">
        <v>3.6</v>
      </c>
      <c r="N254" s="371">
        <v>3.6</v>
      </c>
      <c r="O254" s="371">
        <v>3.6</v>
      </c>
      <c r="P254" s="371">
        <v>3.6</v>
      </c>
      <c r="Q254" s="371">
        <v>3.6</v>
      </c>
      <c r="R254" s="371">
        <v>3.6</v>
      </c>
      <c r="S254" s="371">
        <v>3.6</v>
      </c>
      <c r="T254" s="371">
        <v>3.6</v>
      </c>
      <c r="U254" s="371">
        <v>3.6</v>
      </c>
      <c r="V254" s="371">
        <v>3.6</v>
      </c>
      <c r="W254" s="371">
        <v>3.6</v>
      </c>
      <c r="X254" s="371">
        <v>3.6</v>
      </c>
      <c r="Y254" s="381">
        <v>1000</v>
      </c>
    </row>
    <row r="255" spans="1:26" x14ac:dyDescent="0.2">
      <c r="A255" s="378" t="s">
        <v>34</v>
      </c>
      <c r="B255" s="372">
        <v>0</v>
      </c>
      <c r="C255" s="373">
        <v>68</v>
      </c>
      <c r="D255" s="373">
        <v>62</v>
      </c>
      <c r="E255" s="373">
        <v>60</v>
      </c>
      <c r="F255" s="373">
        <v>39</v>
      </c>
      <c r="G255" s="373">
        <v>38</v>
      </c>
      <c r="H255" s="373">
        <v>9</v>
      </c>
      <c r="I255" s="373">
        <v>5</v>
      </c>
      <c r="J255" s="373">
        <v>3</v>
      </c>
      <c r="K255" s="373">
        <v>0</v>
      </c>
      <c r="L255" s="373">
        <v>0</v>
      </c>
      <c r="M255" s="373">
        <v>0</v>
      </c>
      <c r="N255" s="373">
        <v>0</v>
      </c>
      <c r="O255" s="373">
        <v>0</v>
      </c>
      <c r="P255" s="373">
        <v>0</v>
      </c>
      <c r="Q255" s="373">
        <v>0</v>
      </c>
      <c r="R255" s="373">
        <v>0</v>
      </c>
      <c r="S255" s="373">
        <v>0</v>
      </c>
      <c r="T255" s="373">
        <v>0</v>
      </c>
      <c r="U255" s="373">
        <v>0</v>
      </c>
      <c r="V255" s="373">
        <v>0</v>
      </c>
      <c r="W255" s="373">
        <v>0</v>
      </c>
      <c r="X255" s="373">
        <v>0</v>
      </c>
      <c r="Y255" s="382">
        <v>0</v>
      </c>
    </row>
    <row r="256" spans="1:26" ht="13.5" thickBot="1" x14ac:dyDescent="0.25">
      <c r="A256" s="379" t="s">
        <v>119</v>
      </c>
      <c r="B256" s="374">
        <f t="shared" ref="B256:V256" si="65">(C255+B255)*(C254-B254)/2</f>
        <v>1.7000000000000002</v>
      </c>
      <c r="C256" s="375">
        <f t="shared" si="65"/>
        <v>3.25</v>
      </c>
      <c r="D256" s="375">
        <f t="shared" si="65"/>
        <v>9.15</v>
      </c>
      <c r="E256" s="375">
        <f t="shared" si="65"/>
        <v>2.4749999999999996</v>
      </c>
      <c r="F256" s="375">
        <f t="shared" si="65"/>
        <v>1.9249999999999996</v>
      </c>
      <c r="G256" s="375">
        <f t="shared" si="65"/>
        <v>2.350000000000001</v>
      </c>
      <c r="H256" s="375">
        <f t="shared" si="65"/>
        <v>0.70000000000000018</v>
      </c>
      <c r="I256" s="375">
        <f t="shared" si="65"/>
        <v>11.8</v>
      </c>
      <c r="J256" s="375">
        <f t="shared" si="65"/>
        <v>0.15000000000000013</v>
      </c>
      <c r="K256" s="375">
        <f t="shared" si="65"/>
        <v>0</v>
      </c>
      <c r="L256" s="375">
        <f t="shared" si="65"/>
        <v>0</v>
      </c>
      <c r="M256" s="375">
        <f t="shared" si="65"/>
        <v>0</v>
      </c>
      <c r="N256" s="375">
        <f t="shared" si="65"/>
        <v>0</v>
      </c>
      <c r="O256" s="375">
        <f t="shared" si="65"/>
        <v>0</v>
      </c>
      <c r="P256" s="375">
        <f t="shared" si="65"/>
        <v>0</v>
      </c>
      <c r="Q256" s="375">
        <f t="shared" si="65"/>
        <v>0</v>
      </c>
      <c r="R256" s="375">
        <f t="shared" si="65"/>
        <v>0</v>
      </c>
      <c r="S256" s="375">
        <f t="shared" si="65"/>
        <v>0</v>
      </c>
      <c r="T256" s="375">
        <f t="shared" si="65"/>
        <v>0</v>
      </c>
      <c r="U256" s="375">
        <f t="shared" si="65"/>
        <v>0</v>
      </c>
      <c r="V256" s="375">
        <f t="shared" si="65"/>
        <v>0</v>
      </c>
      <c r="W256" s="375">
        <f>(X255+W255)*(X254-W254)/2</f>
        <v>0</v>
      </c>
      <c r="X256" s="375">
        <f>(Y255+X255)*(Y254-X254)/2</f>
        <v>0</v>
      </c>
      <c r="Y256" s="369"/>
    </row>
    <row r="257" spans="1:25" ht="13.5" thickBo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3.5" thickBot="1" x14ac:dyDescent="0.25">
      <c r="A258" s="361" t="s">
        <v>280</v>
      </c>
      <c r="B258" s="359">
        <f>ROW(A258)</f>
        <v>258</v>
      </c>
      <c r="C258" s="363" t="s">
        <v>118</v>
      </c>
      <c r="D258" s="353">
        <f>SUM(B261:Y261)</f>
        <v>145.46</v>
      </c>
      <c r="E258" s="363" t="s">
        <v>117</v>
      </c>
      <c r="F258" s="354">
        <f>D258/g/J258</f>
        <v>211.82466870540264</v>
      </c>
      <c r="G258" s="363" t="s">
        <v>59</v>
      </c>
      <c r="H258" s="64">
        <v>0.22</v>
      </c>
      <c r="I258" s="363" t="s">
        <v>276</v>
      </c>
      <c r="J258" s="355">
        <f>H258-L258</f>
        <v>7.0000000000000007E-2</v>
      </c>
      <c r="K258" s="363" t="s">
        <v>277</v>
      </c>
      <c r="L258" s="64">
        <v>0.15</v>
      </c>
      <c r="M258" s="363" t="s">
        <v>60</v>
      </c>
      <c r="N258" s="65">
        <v>50</v>
      </c>
      <c r="O258" s="363" t="s">
        <v>62</v>
      </c>
      <c r="P258" s="65">
        <v>55</v>
      </c>
      <c r="Q258" s="363" t="s">
        <v>63</v>
      </c>
      <c r="R258" s="65">
        <v>76</v>
      </c>
      <c r="S258" s="363" t="s">
        <v>64</v>
      </c>
      <c r="T258" s="65">
        <v>40</v>
      </c>
      <c r="U258" s="363" t="s">
        <v>57</v>
      </c>
      <c r="V258" s="66" t="s">
        <v>407</v>
      </c>
      <c r="W258" s="12"/>
      <c r="X258" s="12"/>
      <c r="Y258" s="12"/>
    </row>
    <row r="259" spans="1:25" x14ac:dyDescent="0.2">
      <c r="A259" s="362" t="s">
        <v>33</v>
      </c>
      <c r="B259" s="370">
        <v>0</v>
      </c>
      <c r="C259" s="371">
        <v>0.02</v>
      </c>
      <c r="D259" s="371">
        <v>0.04</v>
      </c>
      <c r="E259" s="371">
        <v>0.05</v>
      </c>
      <c r="F259" s="371">
        <v>0.06</v>
      </c>
      <c r="G259" s="371">
        <v>0.94</v>
      </c>
      <c r="H259" s="377">
        <v>0.94200000000000006</v>
      </c>
      <c r="I259" s="371">
        <v>0.95</v>
      </c>
      <c r="J259" s="371">
        <v>0.95</v>
      </c>
      <c r="K259" s="371">
        <v>0.95</v>
      </c>
      <c r="L259" s="371">
        <v>0.95</v>
      </c>
      <c r="M259" s="371">
        <v>0.95</v>
      </c>
      <c r="N259" s="371">
        <v>0.95</v>
      </c>
      <c r="O259" s="371">
        <v>0.95</v>
      </c>
      <c r="P259" s="371">
        <v>0.95</v>
      </c>
      <c r="Q259" s="371">
        <v>0.95</v>
      </c>
      <c r="R259" s="371">
        <v>0.95</v>
      </c>
      <c r="S259" s="371">
        <v>0.95</v>
      </c>
      <c r="T259" s="371">
        <v>0.95</v>
      </c>
      <c r="U259" s="371">
        <v>0.95</v>
      </c>
      <c r="V259" s="371">
        <v>0.95</v>
      </c>
      <c r="W259" s="371">
        <v>0.95</v>
      </c>
      <c r="X259" s="371">
        <v>2</v>
      </c>
      <c r="Y259" s="381">
        <v>1000</v>
      </c>
    </row>
    <row r="260" spans="1:25" x14ac:dyDescent="0.2">
      <c r="A260" s="378" t="s">
        <v>34</v>
      </c>
      <c r="B260" s="372">
        <v>0</v>
      </c>
      <c r="C260" s="373">
        <v>320</v>
      </c>
      <c r="D260" s="373">
        <v>170</v>
      </c>
      <c r="E260" s="373">
        <v>205</v>
      </c>
      <c r="F260" s="373">
        <v>217</v>
      </c>
      <c r="G260" s="373">
        <v>85</v>
      </c>
      <c r="H260" s="373">
        <v>82</v>
      </c>
      <c r="I260" s="373">
        <v>0</v>
      </c>
      <c r="J260" s="373">
        <v>0</v>
      </c>
      <c r="K260" s="373">
        <v>0</v>
      </c>
      <c r="L260" s="373">
        <v>0</v>
      </c>
      <c r="M260" s="373">
        <v>0</v>
      </c>
      <c r="N260" s="373">
        <v>0</v>
      </c>
      <c r="O260" s="373">
        <v>0</v>
      </c>
      <c r="P260" s="373">
        <v>0</v>
      </c>
      <c r="Q260" s="373">
        <v>0</v>
      </c>
      <c r="R260" s="373">
        <v>0</v>
      </c>
      <c r="S260" s="373">
        <v>0</v>
      </c>
      <c r="T260" s="373">
        <v>0</v>
      </c>
      <c r="U260" s="373">
        <v>0</v>
      </c>
      <c r="V260" s="373">
        <v>0</v>
      </c>
      <c r="W260" s="373">
        <v>0</v>
      </c>
      <c r="X260" s="373">
        <v>0</v>
      </c>
      <c r="Y260" s="382">
        <v>0</v>
      </c>
    </row>
    <row r="261" spans="1:25" ht="13.5" thickBot="1" x14ac:dyDescent="0.25">
      <c r="A261" s="379" t="s">
        <v>119</v>
      </c>
      <c r="B261" s="374">
        <f t="shared" ref="B261:H261" si="66">(C260+B260)*(C259-B259)/2</f>
        <v>3.2</v>
      </c>
      <c r="C261" s="375">
        <f t="shared" si="66"/>
        <v>4.9000000000000004</v>
      </c>
      <c r="D261" s="375">
        <f t="shared" si="66"/>
        <v>1.8750000000000004</v>
      </c>
      <c r="E261" s="375">
        <f t="shared" si="66"/>
        <v>2.109999999999999</v>
      </c>
      <c r="F261" s="375">
        <f t="shared" si="66"/>
        <v>132.88</v>
      </c>
      <c r="G261" s="375">
        <f t="shared" si="66"/>
        <v>0.16700000000000942</v>
      </c>
      <c r="H261" s="375">
        <f t="shared" si="66"/>
        <v>0.32799999999999574</v>
      </c>
      <c r="I261" s="375">
        <f t="shared" ref="I261:V261" si="67">(J260+I260)*(J259-I259)/2</f>
        <v>0</v>
      </c>
      <c r="J261" s="375">
        <f>(K260+J260)*(K259-J259)/2</f>
        <v>0</v>
      </c>
      <c r="K261" s="375">
        <f t="shared" si="67"/>
        <v>0</v>
      </c>
      <c r="L261" s="375">
        <f t="shared" si="67"/>
        <v>0</v>
      </c>
      <c r="M261" s="375">
        <f t="shared" si="67"/>
        <v>0</v>
      </c>
      <c r="N261" s="375">
        <f t="shared" si="67"/>
        <v>0</v>
      </c>
      <c r="O261" s="375">
        <f t="shared" si="67"/>
        <v>0</v>
      </c>
      <c r="P261" s="375">
        <f t="shared" si="67"/>
        <v>0</v>
      </c>
      <c r="Q261" s="375">
        <f t="shared" si="67"/>
        <v>0</v>
      </c>
      <c r="R261" s="375">
        <f t="shared" si="67"/>
        <v>0</v>
      </c>
      <c r="S261" s="375">
        <f>(T260+S260)*(T259-S259)/2</f>
        <v>0</v>
      </c>
      <c r="T261" s="375">
        <f t="shared" si="67"/>
        <v>0</v>
      </c>
      <c r="U261" s="375">
        <f t="shared" si="67"/>
        <v>0</v>
      </c>
      <c r="V261" s="375">
        <f t="shared" si="67"/>
        <v>0</v>
      </c>
      <c r="W261" s="375">
        <f>(X260+W260)*(X259-W259)/2</f>
        <v>0</v>
      </c>
      <c r="X261" s="375">
        <f>(Y260+X260)*(Y259-X259)/2</f>
        <v>0</v>
      </c>
      <c r="Y261" s="369"/>
    </row>
    <row r="262" spans="1:25" x14ac:dyDescent="0.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3.5" thickBot="1" x14ac:dyDescent="0.25">
      <c r="A263" s="6" t="s">
        <v>318</v>
      </c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3.5" thickBot="1" x14ac:dyDescent="0.25">
      <c r="A264" s="361" t="s">
        <v>35</v>
      </c>
      <c r="B264" s="359">
        <f>ROW(A264)</f>
        <v>264</v>
      </c>
      <c r="C264" s="363" t="s">
        <v>118</v>
      </c>
      <c r="D264" s="353">
        <f>SUM(B267:Y267)</f>
        <v>1071.5999999999999</v>
      </c>
      <c r="E264" s="363" t="s">
        <v>117</v>
      </c>
      <c r="F264" s="354">
        <f>D264/g/J264</f>
        <v>163.03802090465106</v>
      </c>
      <c r="G264" s="363" t="s">
        <v>59</v>
      </c>
      <c r="H264" s="64">
        <v>2.02</v>
      </c>
      <c r="I264" s="363" t="s">
        <v>276</v>
      </c>
      <c r="J264" s="355">
        <f>H264-L264</f>
        <v>0.66999999999999993</v>
      </c>
      <c r="K264" s="363" t="s">
        <v>277</v>
      </c>
      <c r="L264" s="64">
        <v>1.35</v>
      </c>
      <c r="M264" s="363" t="s">
        <v>60</v>
      </c>
      <c r="N264" s="65">
        <v>154</v>
      </c>
      <c r="O264" s="363" t="s">
        <v>62</v>
      </c>
      <c r="P264" s="65">
        <v>168</v>
      </c>
      <c r="Q264" s="363" t="s">
        <v>63</v>
      </c>
      <c r="R264" s="65">
        <v>230</v>
      </c>
      <c r="S264" s="363" t="s">
        <v>64</v>
      </c>
      <c r="T264" s="65">
        <v>67</v>
      </c>
      <c r="U264" s="363" t="s">
        <v>57</v>
      </c>
      <c r="V264" s="66" t="s">
        <v>121</v>
      </c>
      <c r="W264" s="12"/>
      <c r="X264" s="12"/>
      <c r="Y264" s="12"/>
    </row>
    <row r="265" spans="1:25" x14ac:dyDescent="0.2">
      <c r="A265" s="362" t="s">
        <v>33</v>
      </c>
      <c r="B265" s="370">
        <v>0</v>
      </c>
      <c r="C265" s="371">
        <v>0.02</v>
      </c>
      <c r="D265" s="371">
        <v>0.05</v>
      </c>
      <c r="E265" s="371">
        <v>0.06</v>
      </c>
      <c r="F265" s="371">
        <v>0.09</v>
      </c>
      <c r="G265" s="371">
        <v>0.17</v>
      </c>
      <c r="H265" s="371">
        <v>0.2</v>
      </c>
      <c r="I265" s="371">
        <v>0.38</v>
      </c>
      <c r="J265" s="371">
        <v>0.75</v>
      </c>
      <c r="K265" s="371">
        <v>0.79</v>
      </c>
      <c r="L265" s="371">
        <v>1.1299999999999999</v>
      </c>
      <c r="M265" s="371">
        <v>1.2</v>
      </c>
      <c r="N265" s="371">
        <v>1.5</v>
      </c>
      <c r="O265" s="371">
        <v>1.54</v>
      </c>
      <c r="P265" s="371">
        <v>1.65</v>
      </c>
      <c r="Q265" s="371">
        <v>1.7</v>
      </c>
      <c r="R265" s="371">
        <v>1.79</v>
      </c>
      <c r="S265" s="371">
        <v>1.79</v>
      </c>
      <c r="T265" s="371">
        <v>1.79</v>
      </c>
      <c r="U265" s="371">
        <v>1.79</v>
      </c>
      <c r="V265" s="371">
        <v>1.79</v>
      </c>
      <c r="W265" s="371">
        <v>1.79</v>
      </c>
      <c r="X265" s="371">
        <v>1.79</v>
      </c>
      <c r="Y265" s="381">
        <v>1000</v>
      </c>
    </row>
    <row r="266" spans="1:25" x14ac:dyDescent="0.2">
      <c r="A266" s="378" t="s">
        <v>34</v>
      </c>
      <c r="B266" s="372">
        <v>0</v>
      </c>
      <c r="C266" s="373">
        <v>20</v>
      </c>
      <c r="D266" s="373">
        <v>870</v>
      </c>
      <c r="E266" s="373">
        <v>530</v>
      </c>
      <c r="F266" s="373">
        <v>790</v>
      </c>
      <c r="G266" s="373">
        <v>700</v>
      </c>
      <c r="H266" s="373">
        <v>710</v>
      </c>
      <c r="I266" s="373">
        <v>670</v>
      </c>
      <c r="J266" s="373">
        <v>630</v>
      </c>
      <c r="K266" s="373">
        <v>630</v>
      </c>
      <c r="L266" s="373">
        <v>710</v>
      </c>
      <c r="M266" s="373">
        <v>690</v>
      </c>
      <c r="N266" s="373">
        <v>690</v>
      </c>
      <c r="O266" s="373">
        <v>660</v>
      </c>
      <c r="P266" s="373">
        <v>160</v>
      </c>
      <c r="Q266" s="373">
        <v>10</v>
      </c>
      <c r="R266" s="373">
        <v>0</v>
      </c>
      <c r="S266" s="373">
        <v>0</v>
      </c>
      <c r="T266" s="373">
        <v>0</v>
      </c>
      <c r="U266" s="373">
        <v>0</v>
      </c>
      <c r="V266" s="373">
        <v>0</v>
      </c>
      <c r="W266" s="373">
        <v>0</v>
      </c>
      <c r="X266" s="373">
        <v>0</v>
      </c>
      <c r="Y266" s="382">
        <v>0</v>
      </c>
    </row>
    <row r="267" spans="1:25" ht="13.5" thickBot="1" x14ac:dyDescent="0.25">
      <c r="A267" s="379" t="s">
        <v>119</v>
      </c>
      <c r="B267" s="374">
        <f t="shared" ref="B267:Q267" si="68">(C266+B266)*(C265-B265)/2</f>
        <v>0.2</v>
      </c>
      <c r="C267" s="375">
        <f t="shared" si="68"/>
        <v>13.350000000000001</v>
      </c>
      <c r="D267" s="375">
        <f t="shared" si="68"/>
        <v>6.9999999999999964</v>
      </c>
      <c r="E267" s="375">
        <f t="shared" si="68"/>
        <v>19.8</v>
      </c>
      <c r="F267" s="375">
        <f t="shared" si="68"/>
        <v>59.600000000000009</v>
      </c>
      <c r="G267" s="375">
        <f t="shared" si="68"/>
        <v>21.15</v>
      </c>
      <c r="H267" s="375">
        <f t="shared" si="68"/>
        <v>124.19999999999999</v>
      </c>
      <c r="I267" s="375">
        <f t="shared" si="68"/>
        <v>240.5</v>
      </c>
      <c r="J267" s="375">
        <f>(K266+J266)*(K265-J265)/2</f>
        <v>25.200000000000024</v>
      </c>
      <c r="K267" s="375">
        <f t="shared" si="68"/>
        <v>227.7999999999999</v>
      </c>
      <c r="L267" s="375">
        <f t="shared" si="68"/>
        <v>49.000000000000043</v>
      </c>
      <c r="M267" s="375">
        <f t="shared" si="68"/>
        <v>207.00000000000003</v>
      </c>
      <c r="N267" s="375">
        <f t="shared" si="68"/>
        <v>27.000000000000025</v>
      </c>
      <c r="O267" s="375">
        <f t="shared" si="68"/>
        <v>45.099999999999952</v>
      </c>
      <c r="P267" s="375">
        <f t="shared" si="68"/>
        <v>4.2500000000000036</v>
      </c>
      <c r="Q267" s="375">
        <f t="shared" si="68"/>
        <v>0.4500000000000004</v>
      </c>
      <c r="R267" s="375">
        <f t="shared" ref="R267:X267" si="69">(S266+R266)*(S265-R265)/2</f>
        <v>0</v>
      </c>
      <c r="S267" s="375">
        <f t="shared" si="69"/>
        <v>0</v>
      </c>
      <c r="T267" s="375">
        <f t="shared" si="69"/>
        <v>0</v>
      </c>
      <c r="U267" s="375">
        <f t="shared" si="69"/>
        <v>0</v>
      </c>
      <c r="V267" s="375">
        <f t="shared" si="69"/>
        <v>0</v>
      </c>
      <c r="W267" s="375">
        <f t="shared" si="69"/>
        <v>0</v>
      </c>
      <c r="X267" s="375">
        <f t="shared" si="69"/>
        <v>0</v>
      </c>
      <c r="Y267" s="383"/>
    </row>
    <row r="268" spans="1:25" ht="13.5" thickBot="1" x14ac:dyDescent="0.25">
      <c r="S268" s="12"/>
      <c r="T268" s="12"/>
      <c r="U268" s="12"/>
      <c r="V268" s="12"/>
      <c r="W268" s="12"/>
      <c r="X268" s="12"/>
      <c r="Y268" s="12"/>
    </row>
    <row r="269" spans="1:25" ht="13.5" thickBot="1" x14ac:dyDescent="0.25">
      <c r="A269" s="361" t="s">
        <v>36</v>
      </c>
      <c r="B269" s="359">
        <f>ROW(A269)</f>
        <v>269</v>
      </c>
      <c r="C269" s="363" t="s">
        <v>118</v>
      </c>
      <c r="D269" s="353">
        <f>SUM(B272:Y272)</f>
        <v>2102.35</v>
      </c>
      <c r="E269" s="363" t="s">
        <v>117</v>
      </c>
      <c r="F269" s="354">
        <f>D269/g/J269</f>
        <v>174.23319493133766</v>
      </c>
      <c r="G269" s="363" t="s">
        <v>59</v>
      </c>
      <c r="H269" s="64">
        <v>3.7</v>
      </c>
      <c r="I269" s="363" t="s">
        <v>276</v>
      </c>
      <c r="J269" s="355">
        <f>H269-L269</f>
        <v>1.23</v>
      </c>
      <c r="K269" s="363" t="s">
        <v>277</v>
      </c>
      <c r="L269" s="64">
        <v>2.4700000000000002</v>
      </c>
      <c r="M269" s="363" t="s">
        <v>60</v>
      </c>
      <c r="N269" s="65">
        <v>151</v>
      </c>
      <c r="O269" s="363" t="s">
        <v>62</v>
      </c>
      <c r="P269" s="65">
        <v>171</v>
      </c>
      <c r="Q269" s="363" t="s">
        <v>63</v>
      </c>
      <c r="R269" s="65">
        <v>247</v>
      </c>
      <c r="S269" s="363" t="s">
        <v>64</v>
      </c>
      <c r="T269" s="65">
        <v>90</v>
      </c>
      <c r="U269" s="363" t="s">
        <v>57</v>
      </c>
      <c r="V269" s="66" t="s">
        <v>121</v>
      </c>
      <c r="W269" s="12"/>
      <c r="X269" s="12"/>
      <c r="Y269" s="12"/>
    </row>
    <row r="270" spans="1:25" x14ac:dyDescent="0.2">
      <c r="A270" s="362" t="s">
        <v>33</v>
      </c>
      <c r="B270" s="370">
        <v>0</v>
      </c>
      <c r="C270" s="371">
        <v>0.05</v>
      </c>
      <c r="D270" s="371">
        <v>0.1</v>
      </c>
      <c r="E270" s="371">
        <v>1</v>
      </c>
      <c r="F270" s="371">
        <v>1.35</v>
      </c>
      <c r="G270" s="371">
        <v>1.75</v>
      </c>
      <c r="H270" s="371">
        <v>2.15</v>
      </c>
      <c r="I270" s="371">
        <v>2.25</v>
      </c>
      <c r="J270" s="371">
        <v>2.48</v>
      </c>
      <c r="K270" s="371">
        <v>2.6</v>
      </c>
      <c r="L270" s="371">
        <v>2.8</v>
      </c>
      <c r="M270" s="371">
        <v>2.8</v>
      </c>
      <c r="N270" s="371">
        <v>2.8</v>
      </c>
      <c r="O270" s="371">
        <v>2.8</v>
      </c>
      <c r="P270" s="371">
        <v>2.8</v>
      </c>
      <c r="Q270" s="371">
        <v>2.8</v>
      </c>
      <c r="R270" s="371">
        <v>2.8</v>
      </c>
      <c r="S270" s="371">
        <v>2.8</v>
      </c>
      <c r="T270" s="371">
        <v>2.8</v>
      </c>
      <c r="U270" s="371">
        <v>2.8</v>
      </c>
      <c r="V270" s="371">
        <v>2.8</v>
      </c>
      <c r="W270" s="371">
        <v>2.8</v>
      </c>
      <c r="X270" s="371">
        <v>2.8</v>
      </c>
      <c r="Y270" s="381">
        <v>1000</v>
      </c>
    </row>
    <row r="271" spans="1:25" x14ac:dyDescent="0.2">
      <c r="A271" s="378" t="s">
        <v>34</v>
      </c>
      <c r="B271" s="372">
        <v>0</v>
      </c>
      <c r="C271" s="373">
        <v>860</v>
      </c>
      <c r="D271" s="373">
        <v>840</v>
      </c>
      <c r="E271" s="373">
        <v>840</v>
      </c>
      <c r="F271" s="373">
        <v>850</v>
      </c>
      <c r="G271" s="373">
        <v>900</v>
      </c>
      <c r="H271" s="373">
        <v>1050</v>
      </c>
      <c r="I271" s="373">
        <v>1020</v>
      </c>
      <c r="J271" s="373">
        <v>120</v>
      </c>
      <c r="K271" s="373">
        <v>30</v>
      </c>
      <c r="L271" s="373">
        <v>0</v>
      </c>
      <c r="M271" s="373">
        <v>0</v>
      </c>
      <c r="N271" s="373">
        <v>0</v>
      </c>
      <c r="O271" s="373">
        <v>0</v>
      </c>
      <c r="P271" s="373">
        <v>0</v>
      </c>
      <c r="Q271" s="373">
        <v>0</v>
      </c>
      <c r="R271" s="373">
        <v>0</v>
      </c>
      <c r="S271" s="373">
        <v>0</v>
      </c>
      <c r="T271" s="373">
        <v>0</v>
      </c>
      <c r="U271" s="373">
        <v>0</v>
      </c>
      <c r="V271" s="373">
        <v>0</v>
      </c>
      <c r="W271" s="373">
        <v>0</v>
      </c>
      <c r="X271" s="373">
        <v>0</v>
      </c>
      <c r="Y271" s="382">
        <v>0</v>
      </c>
    </row>
    <row r="272" spans="1:25" ht="13.5" thickBot="1" x14ac:dyDescent="0.25">
      <c r="A272" s="379" t="s">
        <v>119</v>
      </c>
      <c r="B272" s="374">
        <f t="shared" ref="B272:K272" si="70">(C271+B271)*(C270-B270)/2</f>
        <v>21.5</v>
      </c>
      <c r="C272" s="375">
        <f t="shared" si="70"/>
        <v>42.5</v>
      </c>
      <c r="D272" s="375">
        <f t="shared" si="70"/>
        <v>756</v>
      </c>
      <c r="E272" s="375">
        <f t="shared" si="70"/>
        <v>295.75000000000006</v>
      </c>
      <c r="F272" s="375">
        <f t="shared" si="70"/>
        <v>349.99999999999994</v>
      </c>
      <c r="G272" s="375">
        <f t="shared" si="70"/>
        <v>389.99999999999989</v>
      </c>
      <c r="H272" s="375">
        <f t="shared" si="70"/>
        <v>103.50000000000009</v>
      </c>
      <c r="I272" s="375">
        <f t="shared" si="70"/>
        <v>131.1</v>
      </c>
      <c r="J272" s="375">
        <f>(K271+J271)*(K270-J270)/2</f>
        <v>9.0000000000000071</v>
      </c>
      <c r="K272" s="375">
        <f t="shared" si="70"/>
        <v>2.999999999999996</v>
      </c>
      <c r="L272" s="375">
        <f t="shared" ref="L272:V272" si="71">(M271+L271)*(M270-L270)/2</f>
        <v>0</v>
      </c>
      <c r="M272" s="375">
        <f t="shared" si="71"/>
        <v>0</v>
      </c>
      <c r="N272" s="375">
        <f t="shared" si="71"/>
        <v>0</v>
      </c>
      <c r="O272" s="375">
        <f t="shared" si="71"/>
        <v>0</v>
      </c>
      <c r="P272" s="375">
        <f t="shared" si="71"/>
        <v>0</v>
      </c>
      <c r="Q272" s="375">
        <f t="shared" si="71"/>
        <v>0</v>
      </c>
      <c r="R272" s="375">
        <f t="shared" si="71"/>
        <v>0</v>
      </c>
      <c r="S272" s="375">
        <f>(T271+S271)*(T270-S270)/2</f>
        <v>0</v>
      </c>
      <c r="T272" s="375">
        <f t="shared" si="71"/>
        <v>0</v>
      </c>
      <c r="U272" s="375">
        <f t="shared" si="71"/>
        <v>0</v>
      </c>
      <c r="V272" s="375">
        <f t="shared" si="71"/>
        <v>0</v>
      </c>
      <c r="W272" s="375">
        <f>(X271+W271)*(X270-W270)/2</f>
        <v>0</v>
      </c>
      <c r="X272" s="375">
        <f>(Y271+X271)*(Y270-X270)/2</f>
        <v>0</v>
      </c>
      <c r="Y272" s="369"/>
    </row>
    <row r="273" spans="1:25" ht="13.5" thickBot="1" x14ac:dyDescent="0.25"/>
    <row r="274" spans="1:25" ht="13.5" thickBot="1" x14ac:dyDescent="0.25">
      <c r="A274" s="361" t="s">
        <v>45</v>
      </c>
      <c r="B274" s="359">
        <f>ROW(A274)</f>
        <v>274</v>
      </c>
      <c r="C274" s="363" t="s">
        <v>118</v>
      </c>
      <c r="D274" s="353">
        <f>SUM(B277:Y277)</f>
        <v>2058.37</v>
      </c>
      <c r="E274" s="363" t="s">
        <v>117</v>
      </c>
      <c r="F274" s="354">
        <f>D274/g/J274</f>
        <v>203.12066731598335</v>
      </c>
      <c r="G274" s="363" t="s">
        <v>59</v>
      </c>
      <c r="H274" s="64">
        <v>1.6850000000000001</v>
      </c>
      <c r="I274" s="363" t="s">
        <v>276</v>
      </c>
      <c r="J274" s="355">
        <f>H274-L274</f>
        <v>1.0329999999999999</v>
      </c>
      <c r="K274" s="363" t="s">
        <v>277</v>
      </c>
      <c r="L274" s="64">
        <v>0.65200000000000002</v>
      </c>
      <c r="M274" s="363" t="s">
        <v>60</v>
      </c>
      <c r="N274" s="65">
        <v>250</v>
      </c>
      <c r="O274" s="363" t="s">
        <v>62</v>
      </c>
      <c r="P274" s="65">
        <v>240</v>
      </c>
      <c r="Q274" s="363" t="s">
        <v>63</v>
      </c>
      <c r="R274" s="65">
        <v>488</v>
      </c>
      <c r="S274" s="363" t="s">
        <v>64</v>
      </c>
      <c r="T274" s="65">
        <v>54</v>
      </c>
      <c r="U274" s="363" t="s">
        <v>57</v>
      </c>
      <c r="V274" s="66" t="s">
        <v>121</v>
      </c>
      <c r="W274" s="12"/>
      <c r="X274" s="12"/>
      <c r="Y274" s="12"/>
    </row>
    <row r="275" spans="1:25" x14ac:dyDescent="0.2">
      <c r="A275" s="362" t="s">
        <v>33</v>
      </c>
      <c r="B275" s="370">
        <v>0</v>
      </c>
      <c r="C275" s="371">
        <v>0.05</v>
      </c>
      <c r="D275" s="371">
        <v>0.5</v>
      </c>
      <c r="E275" s="371">
        <v>1</v>
      </c>
      <c r="F275" s="371">
        <v>1.5</v>
      </c>
      <c r="G275" s="371">
        <v>2</v>
      </c>
      <c r="H275" s="371">
        <v>2.5</v>
      </c>
      <c r="I275" s="371">
        <v>2.97</v>
      </c>
      <c r="J275" s="371">
        <v>3.2</v>
      </c>
      <c r="K275" s="371">
        <v>3.47</v>
      </c>
      <c r="L275" s="371">
        <v>3.59</v>
      </c>
      <c r="M275" s="371">
        <v>3.59</v>
      </c>
      <c r="N275" s="371">
        <v>3.59</v>
      </c>
      <c r="O275" s="371">
        <v>3.59</v>
      </c>
      <c r="P275" s="371">
        <v>3.59</v>
      </c>
      <c r="Q275" s="371">
        <v>3.59</v>
      </c>
      <c r="R275" s="371">
        <v>3.59</v>
      </c>
      <c r="S275" s="371">
        <v>3.59</v>
      </c>
      <c r="T275" s="371">
        <v>3.59</v>
      </c>
      <c r="U275" s="371">
        <v>3.59</v>
      </c>
      <c r="V275" s="371">
        <v>3.59</v>
      </c>
      <c r="W275" s="371">
        <v>3.59</v>
      </c>
      <c r="X275" s="371">
        <v>3.59</v>
      </c>
      <c r="Y275" s="381">
        <v>1000</v>
      </c>
    </row>
    <row r="276" spans="1:25" x14ac:dyDescent="0.2">
      <c r="A276" s="378" t="s">
        <v>34</v>
      </c>
      <c r="B276" s="372">
        <v>0</v>
      </c>
      <c r="C276" s="373">
        <v>893</v>
      </c>
      <c r="D276" s="373">
        <v>798</v>
      </c>
      <c r="E276" s="373">
        <v>739</v>
      </c>
      <c r="F276" s="373">
        <v>659</v>
      </c>
      <c r="G276" s="373">
        <v>586</v>
      </c>
      <c r="H276" s="373">
        <v>513</v>
      </c>
      <c r="I276" s="373">
        <v>417</v>
      </c>
      <c r="J276" s="373">
        <v>225</v>
      </c>
      <c r="K276" s="373">
        <v>67</v>
      </c>
      <c r="L276" s="373">
        <v>0</v>
      </c>
      <c r="M276" s="373">
        <v>0</v>
      </c>
      <c r="N276" s="373">
        <v>0</v>
      </c>
      <c r="O276" s="373">
        <v>0</v>
      </c>
      <c r="P276" s="373">
        <v>0</v>
      </c>
      <c r="Q276" s="373">
        <v>0</v>
      </c>
      <c r="R276" s="373">
        <v>0</v>
      </c>
      <c r="S276" s="373">
        <v>0</v>
      </c>
      <c r="T276" s="373">
        <v>0</v>
      </c>
      <c r="U276" s="373">
        <v>0</v>
      </c>
      <c r="V276" s="373">
        <v>0</v>
      </c>
      <c r="W276" s="373">
        <v>0</v>
      </c>
      <c r="X276" s="373">
        <v>0</v>
      </c>
      <c r="Y276" s="382">
        <v>0</v>
      </c>
    </row>
    <row r="277" spans="1:25" ht="13.5" thickBot="1" x14ac:dyDescent="0.25">
      <c r="A277" s="380" t="s">
        <v>119</v>
      </c>
      <c r="B277" s="374">
        <f t="shared" ref="B277:V277" si="72">(C276+B276)*(C275-B275)/2</f>
        <v>22.325000000000003</v>
      </c>
      <c r="C277" s="375">
        <f t="shared" si="72"/>
        <v>380.47500000000002</v>
      </c>
      <c r="D277" s="375">
        <f t="shared" si="72"/>
        <v>384.25</v>
      </c>
      <c r="E277" s="375">
        <f t="shared" si="72"/>
        <v>349.5</v>
      </c>
      <c r="F277" s="375">
        <f t="shared" si="72"/>
        <v>311.25</v>
      </c>
      <c r="G277" s="375">
        <f t="shared" si="72"/>
        <v>274.75</v>
      </c>
      <c r="H277" s="375">
        <f t="shared" si="72"/>
        <v>218.5500000000001</v>
      </c>
      <c r="I277" s="375">
        <f t="shared" si="72"/>
        <v>73.83</v>
      </c>
      <c r="J277" s="375">
        <f>(K276+J276)*(K275-J275)/2</f>
        <v>39.42</v>
      </c>
      <c r="K277" s="375">
        <f t="shared" si="72"/>
        <v>4.0199999999999889</v>
      </c>
      <c r="L277" s="375">
        <f t="shared" si="72"/>
        <v>0</v>
      </c>
      <c r="M277" s="375">
        <f t="shared" si="72"/>
        <v>0</v>
      </c>
      <c r="N277" s="375">
        <f t="shared" si="72"/>
        <v>0</v>
      </c>
      <c r="O277" s="375">
        <f t="shared" si="72"/>
        <v>0</v>
      </c>
      <c r="P277" s="375">
        <f t="shared" si="72"/>
        <v>0</v>
      </c>
      <c r="Q277" s="375">
        <f t="shared" si="72"/>
        <v>0</v>
      </c>
      <c r="R277" s="375">
        <f t="shared" si="72"/>
        <v>0</v>
      </c>
      <c r="S277" s="375">
        <f>(T276+S276)*(T275-S275)/2</f>
        <v>0</v>
      </c>
      <c r="T277" s="375">
        <f t="shared" si="72"/>
        <v>0</v>
      </c>
      <c r="U277" s="375">
        <f t="shared" si="72"/>
        <v>0</v>
      </c>
      <c r="V277" s="375">
        <f t="shared" si="72"/>
        <v>0</v>
      </c>
      <c r="W277" s="375">
        <f>(X276+W276)*(X275-W275)/2</f>
        <v>0</v>
      </c>
      <c r="X277" s="375">
        <f>(Y276+X276)*(Y275-X275)/2</f>
        <v>0</v>
      </c>
      <c r="Y277" s="369"/>
    </row>
    <row r="278" spans="1:25" ht="13.5" thickBot="1" x14ac:dyDescent="0.2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3.5" thickBot="1" x14ac:dyDescent="0.25">
      <c r="A279" s="361" t="s">
        <v>37</v>
      </c>
      <c r="B279" s="359">
        <f>ROW(A279)</f>
        <v>279</v>
      </c>
      <c r="C279" s="363" t="s">
        <v>118</v>
      </c>
      <c r="D279" s="353">
        <f>SUM(B282:Y282)</f>
        <v>2486.041999999999</v>
      </c>
      <c r="E279" s="363" t="s">
        <v>117</v>
      </c>
      <c r="F279" s="354">
        <f>D279/g/J279</f>
        <v>199.54264891200521</v>
      </c>
      <c r="G279" s="363" t="s">
        <v>59</v>
      </c>
      <c r="H279" s="64">
        <v>2.59</v>
      </c>
      <c r="I279" s="363" t="s">
        <v>276</v>
      </c>
      <c r="J279" s="355">
        <f>H279-L279</f>
        <v>1.2699999999999998</v>
      </c>
      <c r="K279" s="363" t="s">
        <v>277</v>
      </c>
      <c r="L279" s="64">
        <v>1.32</v>
      </c>
      <c r="M279" s="363" t="s">
        <v>60</v>
      </c>
      <c r="N279" s="65">
        <v>175</v>
      </c>
      <c r="O279" s="363" t="s">
        <v>62</v>
      </c>
      <c r="P279" s="65">
        <v>175</v>
      </c>
      <c r="Q279" s="363" t="s">
        <v>63</v>
      </c>
      <c r="R279" s="65">
        <v>350</v>
      </c>
      <c r="S279" s="363" t="s">
        <v>64</v>
      </c>
      <c r="T279" s="65">
        <v>75</v>
      </c>
      <c r="U279" s="363" t="s">
        <v>57</v>
      </c>
      <c r="V279" s="66" t="s">
        <v>121</v>
      </c>
      <c r="W279" s="12"/>
      <c r="X279" s="12"/>
      <c r="Y279" s="12"/>
    </row>
    <row r="280" spans="1:25" x14ac:dyDescent="0.2">
      <c r="A280" s="362" t="s">
        <v>33</v>
      </c>
      <c r="B280" s="370">
        <v>0</v>
      </c>
      <c r="C280" s="371">
        <v>0.04</v>
      </c>
      <c r="D280" s="371">
        <v>7.0000000000000007E-2</v>
      </c>
      <c r="E280" s="371">
        <v>0.1</v>
      </c>
      <c r="F280" s="371">
        <v>0.21</v>
      </c>
      <c r="G280" s="371">
        <v>0.35</v>
      </c>
      <c r="H280" s="371">
        <v>0.53</v>
      </c>
      <c r="I280" s="371">
        <v>0.82</v>
      </c>
      <c r="J280" s="371">
        <v>1.18</v>
      </c>
      <c r="K280" s="371">
        <v>1.72</v>
      </c>
      <c r="L280" s="371">
        <v>2.15</v>
      </c>
      <c r="M280" s="371">
        <v>2.39</v>
      </c>
      <c r="N280" s="371">
        <v>2.9</v>
      </c>
      <c r="O280" s="371">
        <v>3.07</v>
      </c>
      <c r="P280" s="371">
        <v>3.56</v>
      </c>
      <c r="Q280" s="371">
        <v>3.98</v>
      </c>
      <c r="R280" s="371">
        <v>4.32</v>
      </c>
      <c r="S280" s="371">
        <v>4.4800000000000004</v>
      </c>
      <c r="T280" s="371">
        <v>4.5999999999999996</v>
      </c>
      <c r="U280" s="371">
        <v>4.6500000000000004</v>
      </c>
      <c r="V280" s="371">
        <v>4.8</v>
      </c>
      <c r="W280" s="371">
        <v>4.83</v>
      </c>
      <c r="X280" s="371">
        <v>4.84</v>
      </c>
      <c r="Y280" s="381">
        <v>1000</v>
      </c>
    </row>
    <row r="281" spans="1:25" x14ac:dyDescent="0.2">
      <c r="A281" s="378" t="s">
        <v>34</v>
      </c>
      <c r="B281" s="372">
        <v>0</v>
      </c>
      <c r="C281" s="373">
        <v>394.4</v>
      </c>
      <c r="D281" s="373">
        <v>617.70000000000005</v>
      </c>
      <c r="E281" s="373">
        <v>645.1</v>
      </c>
      <c r="F281" s="373">
        <v>658.2</v>
      </c>
      <c r="G281" s="373">
        <v>669.2</v>
      </c>
      <c r="H281" s="373">
        <v>667.7</v>
      </c>
      <c r="I281" s="373">
        <v>661.6</v>
      </c>
      <c r="J281" s="373">
        <v>626.9</v>
      </c>
      <c r="K281" s="373">
        <v>588.5</v>
      </c>
      <c r="L281" s="373">
        <v>557.70000000000005</v>
      </c>
      <c r="M281" s="373">
        <v>542.29999999999995</v>
      </c>
      <c r="N281" s="373">
        <v>492.9</v>
      </c>
      <c r="O281" s="373">
        <v>470.3</v>
      </c>
      <c r="P281" s="373">
        <v>426.8</v>
      </c>
      <c r="Q281" s="373">
        <v>399</v>
      </c>
      <c r="R281" s="373">
        <v>394</v>
      </c>
      <c r="S281" s="373">
        <v>380.6</v>
      </c>
      <c r="T281" s="373">
        <v>364.2</v>
      </c>
      <c r="U281" s="373">
        <v>290.89999999999998</v>
      </c>
      <c r="V281" s="373">
        <v>91.2</v>
      </c>
      <c r="W281" s="373">
        <v>45.8</v>
      </c>
      <c r="X281" s="373">
        <v>0</v>
      </c>
      <c r="Y281" s="382">
        <v>0</v>
      </c>
    </row>
    <row r="282" spans="1:25" ht="13.5" thickBot="1" x14ac:dyDescent="0.25">
      <c r="A282" s="379" t="s">
        <v>119</v>
      </c>
      <c r="B282" s="374">
        <f t="shared" ref="B282:V282" si="73">(C281+B281)*(C280-B280)/2</f>
        <v>7.8879999999999999</v>
      </c>
      <c r="C282" s="375">
        <f t="shared" si="73"/>
        <v>15.181500000000003</v>
      </c>
      <c r="D282" s="375">
        <f t="shared" si="73"/>
        <v>18.942000000000004</v>
      </c>
      <c r="E282" s="375">
        <f t="shared" si="73"/>
        <v>71.6815</v>
      </c>
      <c r="F282" s="375">
        <f t="shared" si="73"/>
        <v>92.917999999999992</v>
      </c>
      <c r="G282" s="375">
        <f t="shared" si="73"/>
        <v>120.32100000000004</v>
      </c>
      <c r="H282" s="375">
        <f t="shared" si="73"/>
        <v>192.74849999999998</v>
      </c>
      <c r="I282" s="375">
        <f t="shared" si="73"/>
        <v>231.92999999999998</v>
      </c>
      <c r="J282" s="375">
        <f>(K281+J281)*(K280-J280)/2</f>
        <v>328.15800000000007</v>
      </c>
      <c r="K282" s="375">
        <f t="shared" si="73"/>
        <v>246.43299999999996</v>
      </c>
      <c r="L282" s="375">
        <f t="shared" si="73"/>
        <v>132.00000000000011</v>
      </c>
      <c r="M282" s="375">
        <f t="shared" si="73"/>
        <v>263.97599999999983</v>
      </c>
      <c r="N282" s="375">
        <f t="shared" si="73"/>
        <v>81.871999999999971</v>
      </c>
      <c r="O282" s="375">
        <f t="shared" si="73"/>
        <v>219.78950000000009</v>
      </c>
      <c r="P282" s="375">
        <f t="shared" si="73"/>
        <v>173.41799999999995</v>
      </c>
      <c r="Q282" s="375">
        <f t="shared" si="73"/>
        <v>134.81000000000012</v>
      </c>
      <c r="R282" s="375">
        <f t="shared" si="73"/>
        <v>61.96800000000006</v>
      </c>
      <c r="S282" s="375">
        <f>(T281+S281)*(T280-S280)/2</f>
        <v>44.687999999999704</v>
      </c>
      <c r="T282" s="375">
        <f t="shared" si="73"/>
        <v>16.377500000000232</v>
      </c>
      <c r="U282" s="375">
        <f t="shared" si="73"/>
        <v>28.657499999999896</v>
      </c>
      <c r="V282" s="375">
        <f t="shared" si="73"/>
        <v>2.055000000000017</v>
      </c>
      <c r="W282" s="375">
        <f>(X281+W281)*(X280-W280)/2</f>
        <v>0.2289999999999951</v>
      </c>
      <c r="X282" s="375">
        <f>(Y281+X281)*(Y280-X280)/2</f>
        <v>0</v>
      </c>
      <c r="Y282" s="369"/>
    </row>
    <row r="283" spans="1:25" ht="13.5" thickBot="1" x14ac:dyDescent="0.25">
      <c r="A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3.5" thickBot="1" x14ac:dyDescent="0.25">
      <c r="A284" s="361" t="s">
        <v>46</v>
      </c>
      <c r="B284" s="359">
        <f>ROW(A284)</f>
        <v>284</v>
      </c>
      <c r="C284" s="363" t="s">
        <v>118</v>
      </c>
      <c r="D284" s="353">
        <f>SUM(B287:Y287)</f>
        <v>3739.0284999999994</v>
      </c>
      <c r="E284" s="363" t="s">
        <v>117</v>
      </c>
      <c r="F284" s="354">
        <f>D284/g/J284</f>
        <v>203.4941790441234</v>
      </c>
      <c r="G284" s="363" t="s">
        <v>59</v>
      </c>
      <c r="H284" s="64">
        <v>3.5110000000000001</v>
      </c>
      <c r="I284" s="363" t="s">
        <v>276</v>
      </c>
      <c r="J284" s="355">
        <f>H284-L284</f>
        <v>1.8730000000000002</v>
      </c>
      <c r="K284" s="363" t="s">
        <v>277</v>
      </c>
      <c r="L284" s="64">
        <v>1.6379999999999999</v>
      </c>
      <c r="M284" s="363" t="s">
        <v>60</v>
      </c>
      <c r="N284" s="65">
        <v>243</v>
      </c>
      <c r="O284" s="363" t="s">
        <v>62</v>
      </c>
      <c r="P284" s="65">
        <v>243</v>
      </c>
      <c r="Q284" s="363" t="s">
        <v>63</v>
      </c>
      <c r="R284" s="65">
        <v>486</v>
      </c>
      <c r="S284" s="363" t="s">
        <v>64</v>
      </c>
      <c r="T284" s="65">
        <v>75</v>
      </c>
      <c r="U284" s="363" t="s">
        <v>57</v>
      </c>
      <c r="V284" s="66" t="s">
        <v>121</v>
      </c>
      <c r="W284" s="12"/>
      <c r="X284" s="12"/>
      <c r="Y284" s="12"/>
    </row>
    <row r="285" spans="1:25" x14ac:dyDescent="0.2">
      <c r="A285" s="362" t="s">
        <v>33</v>
      </c>
      <c r="B285" s="370">
        <v>0</v>
      </c>
      <c r="C285" s="371">
        <v>0.01</v>
      </c>
      <c r="D285" s="371">
        <v>0.1</v>
      </c>
      <c r="E285" s="371">
        <v>0.12</v>
      </c>
      <c r="F285" s="371">
        <v>0.26</v>
      </c>
      <c r="G285" s="371">
        <v>0.71</v>
      </c>
      <c r="H285" s="371">
        <v>1.28</v>
      </c>
      <c r="I285" s="371">
        <v>2.0499999999999998</v>
      </c>
      <c r="J285" s="371">
        <v>2.41</v>
      </c>
      <c r="K285" s="371">
        <v>2.83</v>
      </c>
      <c r="L285" s="371">
        <v>3.25</v>
      </c>
      <c r="M285" s="371">
        <v>3.65</v>
      </c>
      <c r="N285" s="371">
        <v>3.8</v>
      </c>
      <c r="O285" s="371">
        <v>4</v>
      </c>
      <c r="P285" s="371">
        <v>4.0999999999999996</v>
      </c>
      <c r="Q285" s="371">
        <v>4.1900000000000004</v>
      </c>
      <c r="R285" s="371">
        <v>4.3099999999999996</v>
      </c>
      <c r="S285" s="371">
        <v>4.41</v>
      </c>
      <c r="T285" s="371">
        <v>4.5199999999999996</v>
      </c>
      <c r="U285" s="371">
        <v>4.5999999999999996</v>
      </c>
      <c r="V285" s="371">
        <v>4.6500000000000004</v>
      </c>
      <c r="W285" s="371">
        <v>4.67</v>
      </c>
      <c r="X285" s="371">
        <v>4.68</v>
      </c>
      <c r="Y285" s="381">
        <v>1000</v>
      </c>
    </row>
    <row r="286" spans="1:25" x14ac:dyDescent="0.2">
      <c r="A286" s="378" t="s">
        <v>34</v>
      </c>
      <c r="B286" s="372">
        <v>27</v>
      </c>
      <c r="C286" s="373">
        <v>402.4</v>
      </c>
      <c r="D286" s="373">
        <v>1286</v>
      </c>
      <c r="E286" s="373">
        <v>1257</v>
      </c>
      <c r="F286" s="373">
        <v>1042</v>
      </c>
      <c r="G286" s="373">
        <v>1027</v>
      </c>
      <c r="H286" s="373">
        <v>998.4</v>
      </c>
      <c r="I286" s="373">
        <v>901.4</v>
      </c>
      <c r="J286" s="373">
        <v>849.6</v>
      </c>
      <c r="K286" s="373">
        <v>763.5</v>
      </c>
      <c r="L286" s="373">
        <v>707.1</v>
      </c>
      <c r="M286" s="373">
        <v>655.1</v>
      </c>
      <c r="N286" s="373">
        <v>651.70000000000005</v>
      </c>
      <c r="O286" s="373">
        <v>624.1</v>
      </c>
      <c r="P286" s="373">
        <v>601.29999999999995</v>
      </c>
      <c r="Q286" s="373">
        <v>536.20000000000005</v>
      </c>
      <c r="R286" s="373">
        <v>415.7</v>
      </c>
      <c r="S286" s="373">
        <v>270.2</v>
      </c>
      <c r="T286" s="373">
        <v>140.19999999999999</v>
      </c>
      <c r="U286" s="373">
        <v>76.900000000000006</v>
      </c>
      <c r="V286" s="373">
        <v>54.9</v>
      </c>
      <c r="W286" s="373">
        <v>40.200000000000003</v>
      </c>
      <c r="X286" s="373">
        <v>0</v>
      </c>
      <c r="Y286" s="382">
        <v>0</v>
      </c>
    </row>
    <row r="287" spans="1:25" ht="13.5" thickBot="1" x14ac:dyDescent="0.25">
      <c r="A287" s="379" t="s">
        <v>119</v>
      </c>
      <c r="B287" s="374">
        <f t="shared" ref="B287:V287" si="74">(C286+B286)*(C285-B285)/2</f>
        <v>2.1469999999999998</v>
      </c>
      <c r="C287" s="375">
        <f t="shared" si="74"/>
        <v>75.978000000000009</v>
      </c>
      <c r="D287" s="375">
        <f t="shared" si="74"/>
        <v>25.429999999999989</v>
      </c>
      <c r="E287" s="375">
        <f t="shared" si="74"/>
        <v>160.93</v>
      </c>
      <c r="F287" s="375">
        <f t="shared" si="74"/>
        <v>465.52499999999998</v>
      </c>
      <c r="G287" s="375">
        <f t="shared" si="74"/>
        <v>577.23900000000003</v>
      </c>
      <c r="H287" s="375">
        <f t="shared" si="74"/>
        <v>731.42299999999977</v>
      </c>
      <c r="I287" s="375">
        <f t="shared" si="74"/>
        <v>315.18000000000029</v>
      </c>
      <c r="J287" s="375">
        <f>(K286+J286)*(K285-J285)/2</f>
        <v>338.75099999999992</v>
      </c>
      <c r="K287" s="375">
        <f t="shared" si="74"/>
        <v>308.82599999999991</v>
      </c>
      <c r="L287" s="375">
        <f t="shared" si="74"/>
        <v>272.43999999999994</v>
      </c>
      <c r="M287" s="375">
        <f t="shared" si="74"/>
        <v>98.009999999999962</v>
      </c>
      <c r="N287" s="375">
        <f t="shared" si="74"/>
        <v>127.58000000000013</v>
      </c>
      <c r="O287" s="375">
        <f t="shared" si="74"/>
        <v>61.26999999999979</v>
      </c>
      <c r="P287" s="375">
        <f t="shared" si="74"/>
        <v>51.187500000000426</v>
      </c>
      <c r="Q287" s="375">
        <f t="shared" si="74"/>
        <v>57.113999999999635</v>
      </c>
      <c r="R287" s="375">
        <f t="shared" si="74"/>
        <v>34.295000000000179</v>
      </c>
      <c r="S287" s="375">
        <f>(T286+S286)*(T285-S285)/2</f>
        <v>22.571999999999882</v>
      </c>
      <c r="T287" s="375">
        <f t="shared" si="74"/>
        <v>8.6840000000000082</v>
      </c>
      <c r="U287" s="375">
        <f t="shared" si="74"/>
        <v>3.295000000000047</v>
      </c>
      <c r="V287" s="375">
        <f t="shared" si="74"/>
        <v>0.95099999999997964</v>
      </c>
      <c r="W287" s="375">
        <f>(X286+W286)*(X285-W285)/2</f>
        <v>0.20099999999999574</v>
      </c>
      <c r="X287" s="375">
        <f>(Y286+X286)*(Y285-X285)/2</f>
        <v>0</v>
      </c>
      <c r="Y287" s="369"/>
    </row>
    <row r="288" spans="1:25" ht="13.5" thickBot="1" x14ac:dyDescent="0.2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3.5" thickBot="1" x14ac:dyDescent="0.25">
      <c r="A289" s="361" t="s">
        <v>323</v>
      </c>
      <c r="B289" s="359">
        <f>ROW(A289)</f>
        <v>289</v>
      </c>
      <c r="C289" s="363" t="s">
        <v>118</v>
      </c>
      <c r="D289" s="353">
        <f>SUM(B292:Y292)</f>
        <v>5322.2813159999996</v>
      </c>
      <c r="E289" s="363" t="s">
        <v>117</v>
      </c>
      <c r="F289" s="354">
        <f>D289/g/J289</f>
        <v>210.04116210318938</v>
      </c>
      <c r="G289" s="363" t="s">
        <v>59</v>
      </c>
      <c r="H289" s="64">
        <v>4.9770000000000003</v>
      </c>
      <c r="I289" s="363" t="s">
        <v>276</v>
      </c>
      <c r="J289" s="355">
        <f>H289-L289</f>
        <v>2.5830000000000002</v>
      </c>
      <c r="K289" s="363" t="s">
        <v>277</v>
      </c>
      <c r="L289" s="64">
        <v>2.3940000000000001</v>
      </c>
      <c r="M289" s="363" t="s">
        <v>60</v>
      </c>
      <c r="N289" s="65">
        <v>197</v>
      </c>
      <c r="O289" s="363" t="s">
        <v>62</v>
      </c>
      <c r="P289" s="65">
        <v>197</v>
      </c>
      <c r="Q289" s="363" t="s">
        <v>63</v>
      </c>
      <c r="R289" s="65">
        <v>394</v>
      </c>
      <c r="S289" s="363" t="s">
        <v>64</v>
      </c>
      <c r="T289" s="65">
        <v>98</v>
      </c>
      <c r="U289" s="363" t="s">
        <v>57</v>
      </c>
      <c r="V289" s="66" t="s">
        <v>121</v>
      </c>
      <c r="W289" s="12"/>
      <c r="X289" s="12"/>
      <c r="Y289" s="12"/>
    </row>
    <row r="290" spans="1:25" x14ac:dyDescent="0.2">
      <c r="A290" s="362" t="s">
        <v>33</v>
      </c>
      <c r="B290" s="370">
        <v>0</v>
      </c>
      <c r="C290" s="371">
        <v>3.6999999999999998E-2</v>
      </c>
      <c r="D290" s="371">
        <v>0.121</v>
      </c>
      <c r="E290" s="371">
        <v>0.32800000000000001</v>
      </c>
      <c r="F290" s="371">
        <v>1.2989999999999999</v>
      </c>
      <c r="G290" s="371">
        <v>1.5449999999999999</v>
      </c>
      <c r="H290" s="371">
        <v>1.7969999999999999</v>
      </c>
      <c r="I290" s="371">
        <v>1.998</v>
      </c>
      <c r="J290" s="371">
        <v>2.2080000000000002</v>
      </c>
      <c r="K290" s="371">
        <v>2.4620000000000002</v>
      </c>
      <c r="L290" s="371">
        <v>2.782</v>
      </c>
      <c r="M290" s="371">
        <v>3.0859999999999999</v>
      </c>
      <c r="N290" s="371">
        <v>3.2130000000000001</v>
      </c>
      <c r="O290" s="371">
        <v>3.258</v>
      </c>
      <c r="P290" s="371">
        <v>3.3279999999999998</v>
      </c>
      <c r="Q290" s="371">
        <v>3.383</v>
      </c>
      <c r="R290" s="371">
        <v>3.4279999999999999</v>
      </c>
      <c r="S290" s="371">
        <v>3.5</v>
      </c>
      <c r="T290" s="371">
        <v>3.5</v>
      </c>
      <c r="U290" s="371">
        <v>3.5</v>
      </c>
      <c r="V290" s="371">
        <v>3.5</v>
      </c>
      <c r="W290" s="371">
        <v>3.5</v>
      </c>
      <c r="X290" s="371">
        <v>3.5</v>
      </c>
      <c r="Y290" s="381">
        <v>1000</v>
      </c>
    </row>
    <row r="291" spans="1:25" x14ac:dyDescent="0.2">
      <c r="A291" s="378" t="s">
        <v>34</v>
      </c>
      <c r="B291" s="372">
        <v>0</v>
      </c>
      <c r="C291" s="373">
        <v>1474.12</v>
      </c>
      <c r="D291" s="373">
        <v>1436.5</v>
      </c>
      <c r="E291" s="373">
        <v>1523.49</v>
      </c>
      <c r="F291" s="373">
        <v>1775.06</v>
      </c>
      <c r="G291" s="373">
        <v>1807.97</v>
      </c>
      <c r="H291" s="373">
        <v>1807.97</v>
      </c>
      <c r="I291" s="373">
        <v>1786.81</v>
      </c>
      <c r="J291" s="373">
        <v>1737.44</v>
      </c>
      <c r="K291" s="373">
        <v>1572.86</v>
      </c>
      <c r="L291" s="373">
        <v>1415.34</v>
      </c>
      <c r="M291" s="373">
        <v>1309.55</v>
      </c>
      <c r="N291" s="373">
        <v>1290.74</v>
      </c>
      <c r="O291" s="373">
        <v>1309.55</v>
      </c>
      <c r="P291" s="373">
        <v>679.45899999999995</v>
      </c>
      <c r="Q291" s="373">
        <v>173.97900000000001</v>
      </c>
      <c r="R291" s="373">
        <v>68.180999999999997</v>
      </c>
      <c r="S291" s="373">
        <v>0</v>
      </c>
      <c r="T291" s="373">
        <v>0</v>
      </c>
      <c r="U291" s="373">
        <v>0</v>
      </c>
      <c r="V291" s="373">
        <v>0</v>
      </c>
      <c r="W291" s="373">
        <v>0</v>
      </c>
      <c r="X291" s="373">
        <v>0</v>
      </c>
      <c r="Y291" s="382">
        <v>0</v>
      </c>
    </row>
    <row r="292" spans="1:25" ht="13.5" thickBot="1" x14ac:dyDescent="0.25">
      <c r="A292" s="379" t="s">
        <v>119</v>
      </c>
      <c r="B292" s="374">
        <f t="shared" ref="B292:X292" si="75">(C291+B291)*(C290-B290)/2</f>
        <v>27.271219999999996</v>
      </c>
      <c r="C292" s="375">
        <f t="shared" si="75"/>
        <v>122.24603999999998</v>
      </c>
      <c r="D292" s="375">
        <f t="shared" si="75"/>
        <v>306.35896500000001</v>
      </c>
      <c r="E292" s="375">
        <f t="shared" si="75"/>
        <v>1601.446025</v>
      </c>
      <c r="F292" s="375">
        <f t="shared" si="75"/>
        <v>440.71268999999995</v>
      </c>
      <c r="G292" s="375">
        <f t="shared" si="75"/>
        <v>455.60844000000003</v>
      </c>
      <c r="H292" s="375">
        <f t="shared" si="75"/>
        <v>361.27539000000007</v>
      </c>
      <c r="I292" s="375">
        <f t="shared" si="75"/>
        <v>370.04625000000033</v>
      </c>
      <c r="J292" s="375">
        <f t="shared" si="75"/>
        <v>420.40810000000005</v>
      </c>
      <c r="K292" s="375">
        <f t="shared" si="75"/>
        <v>478.11199999999974</v>
      </c>
      <c r="L292" s="375">
        <f t="shared" si="75"/>
        <v>414.18327999999974</v>
      </c>
      <c r="M292" s="375">
        <f t="shared" si="75"/>
        <v>165.11841500000028</v>
      </c>
      <c r="N292" s="375">
        <f t="shared" si="75"/>
        <v>58.506524999999904</v>
      </c>
      <c r="O292" s="375">
        <f t="shared" si="75"/>
        <v>69.615314999999839</v>
      </c>
      <c r="P292" s="375">
        <f t="shared" si="75"/>
        <v>23.469545000000068</v>
      </c>
      <c r="Q292" s="375">
        <f t="shared" si="75"/>
        <v>5.4485999999999919</v>
      </c>
      <c r="R292" s="375">
        <f t="shared" si="75"/>
        <v>2.4545160000000021</v>
      </c>
      <c r="S292" s="375">
        <f t="shared" si="75"/>
        <v>0</v>
      </c>
      <c r="T292" s="375">
        <f t="shared" si="75"/>
        <v>0</v>
      </c>
      <c r="U292" s="375">
        <f t="shared" si="75"/>
        <v>0</v>
      </c>
      <c r="V292" s="375">
        <f t="shared" si="75"/>
        <v>0</v>
      </c>
      <c r="W292" s="375">
        <f t="shared" si="75"/>
        <v>0</v>
      </c>
      <c r="X292" s="375">
        <f t="shared" si="75"/>
        <v>0</v>
      </c>
      <c r="Y292" s="369"/>
    </row>
    <row r="293" spans="1:25" ht="13.5" thickBot="1" x14ac:dyDescent="0.25">
      <c r="A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3.5" thickBot="1" x14ac:dyDescent="0.25">
      <c r="A294" s="361" t="s">
        <v>324</v>
      </c>
      <c r="B294" s="359">
        <f>ROW(A294)</f>
        <v>294</v>
      </c>
      <c r="C294" s="363" t="s">
        <v>118</v>
      </c>
      <c r="D294" s="353">
        <f>SUM(B297:Y297)</f>
        <v>7412.4371409999985</v>
      </c>
      <c r="E294" s="363" t="s">
        <v>117</v>
      </c>
      <c r="F294" s="354">
        <f>D294/g/J294</f>
        <v>223.28608637999045</v>
      </c>
      <c r="G294" s="363" t="s">
        <v>59</v>
      </c>
      <c r="H294" s="64">
        <v>6.25</v>
      </c>
      <c r="I294" s="363" t="s">
        <v>276</v>
      </c>
      <c r="J294" s="355">
        <f>H294-L294</f>
        <v>3.3839999999999999</v>
      </c>
      <c r="K294" s="363" t="s">
        <v>277</v>
      </c>
      <c r="L294" s="64">
        <v>2.8660000000000001</v>
      </c>
      <c r="M294" s="363" t="s">
        <v>60</v>
      </c>
      <c r="N294" s="65">
        <v>290</v>
      </c>
      <c r="O294" s="363" t="s">
        <v>62</v>
      </c>
      <c r="P294" s="65">
        <v>290</v>
      </c>
      <c r="Q294" s="363" t="s">
        <v>63</v>
      </c>
      <c r="R294" s="65">
        <v>579</v>
      </c>
      <c r="S294" s="363" t="s">
        <v>64</v>
      </c>
      <c r="T294" s="65">
        <v>98</v>
      </c>
      <c r="U294" s="363" t="s">
        <v>57</v>
      </c>
      <c r="V294" s="66" t="s">
        <v>121</v>
      </c>
      <c r="W294" s="12"/>
      <c r="X294" s="12"/>
      <c r="Y294" s="12"/>
    </row>
    <row r="295" spans="1:25" x14ac:dyDescent="0.2">
      <c r="A295" s="362" t="s">
        <v>33</v>
      </c>
      <c r="B295" s="370">
        <v>0</v>
      </c>
      <c r="C295" s="371">
        <v>1.7000000000000001E-2</v>
      </c>
      <c r="D295" s="371">
        <v>5.1999999999999998E-2</v>
      </c>
      <c r="E295" s="371">
        <v>8.7999999999999995E-2</v>
      </c>
      <c r="F295" s="371">
        <v>0.108</v>
      </c>
      <c r="G295" s="371">
        <v>0.127</v>
      </c>
      <c r="H295" s="371">
        <v>0.17399999999999999</v>
      </c>
      <c r="I295" s="371">
        <v>0.25700000000000001</v>
      </c>
      <c r="J295" s="371">
        <v>0.40300000000000002</v>
      </c>
      <c r="K295" s="371">
        <v>0.76200000000000001</v>
      </c>
      <c r="L295" s="371">
        <v>0.97699999999999998</v>
      </c>
      <c r="M295" s="371">
        <v>1.341</v>
      </c>
      <c r="N295" s="371">
        <v>1.5009999999999999</v>
      </c>
      <c r="O295" s="371">
        <v>1.661</v>
      </c>
      <c r="P295" s="371">
        <v>1.96</v>
      </c>
      <c r="Q295" s="371">
        <v>2.4039999999999999</v>
      </c>
      <c r="R295" s="371">
        <v>2.641</v>
      </c>
      <c r="S295" s="371">
        <v>2.7160000000000002</v>
      </c>
      <c r="T295" s="371">
        <v>2.8210000000000002</v>
      </c>
      <c r="U295" s="371">
        <v>2.8919999999999999</v>
      </c>
      <c r="V295" s="371">
        <v>2.92</v>
      </c>
      <c r="W295" s="371">
        <v>2.97</v>
      </c>
      <c r="X295" s="371">
        <v>3</v>
      </c>
      <c r="Y295" s="381">
        <v>1000</v>
      </c>
    </row>
    <row r="296" spans="1:25" x14ac:dyDescent="0.2">
      <c r="A296" s="378" t="s">
        <v>34</v>
      </c>
      <c r="B296" s="372">
        <v>0</v>
      </c>
      <c r="C296" s="373">
        <v>329.84699999999998</v>
      </c>
      <c r="D296" s="373">
        <v>1003.68</v>
      </c>
      <c r="E296" s="373">
        <v>2346.62</v>
      </c>
      <c r="F296" s="373">
        <v>2549.2399999999998</v>
      </c>
      <c r="G296" s="373">
        <v>2605.79</v>
      </c>
      <c r="H296" s="373">
        <v>2520.9699999999998</v>
      </c>
      <c r="I296" s="373">
        <v>2516.2600000000002</v>
      </c>
      <c r="J296" s="373">
        <v>2596.37</v>
      </c>
      <c r="K296" s="373">
        <v>2808.41</v>
      </c>
      <c r="L296" s="373">
        <v>2954.49</v>
      </c>
      <c r="M296" s="373">
        <v>2959.2</v>
      </c>
      <c r="N296" s="373">
        <v>2907.36</v>
      </c>
      <c r="O296" s="373">
        <v>2869.67</v>
      </c>
      <c r="P296" s="373">
        <v>2695.32</v>
      </c>
      <c r="Q296" s="373">
        <v>2351.34</v>
      </c>
      <c r="R296" s="373">
        <v>2228.8200000000002</v>
      </c>
      <c r="S296" s="373">
        <v>2007.35</v>
      </c>
      <c r="T296" s="373">
        <v>1427.77</v>
      </c>
      <c r="U296" s="373">
        <v>504.19400000000002</v>
      </c>
      <c r="V296" s="373">
        <v>334.55900000000003</v>
      </c>
      <c r="W296" s="373">
        <v>122.515</v>
      </c>
      <c r="X296" s="373">
        <v>0</v>
      </c>
      <c r="Y296" s="382">
        <v>0</v>
      </c>
    </row>
    <row r="297" spans="1:25" ht="13.5" thickBot="1" x14ac:dyDescent="0.25">
      <c r="A297" s="379" t="s">
        <v>119</v>
      </c>
      <c r="B297" s="374">
        <f t="shared" ref="B297:X297" si="76">(C296+B296)*(C295-B295)/2</f>
        <v>2.8036995</v>
      </c>
      <c r="C297" s="375">
        <f t="shared" si="76"/>
        <v>23.336722499999997</v>
      </c>
      <c r="D297" s="375">
        <f t="shared" si="76"/>
        <v>60.305399999999992</v>
      </c>
      <c r="E297" s="375">
        <f t="shared" si="76"/>
        <v>48.958600000000004</v>
      </c>
      <c r="F297" s="375">
        <f t="shared" si="76"/>
        <v>48.972785000000002</v>
      </c>
      <c r="G297" s="375">
        <f t="shared" si="76"/>
        <v>120.47885999999997</v>
      </c>
      <c r="H297" s="375">
        <f t="shared" si="76"/>
        <v>209.04504500000002</v>
      </c>
      <c r="I297" s="375">
        <f t="shared" si="76"/>
        <v>373.22199000000006</v>
      </c>
      <c r="J297" s="375">
        <f t="shared" si="76"/>
        <v>970.15800999999988</v>
      </c>
      <c r="K297" s="375">
        <f t="shared" si="76"/>
        <v>619.51174999999989</v>
      </c>
      <c r="L297" s="375">
        <f t="shared" si="76"/>
        <v>1076.2915799999998</v>
      </c>
      <c r="M297" s="375">
        <f t="shared" si="76"/>
        <v>469.3247999999997</v>
      </c>
      <c r="N297" s="375">
        <f t="shared" si="76"/>
        <v>462.16240000000045</v>
      </c>
      <c r="O297" s="375">
        <f t="shared" si="76"/>
        <v>831.96600499999977</v>
      </c>
      <c r="P297" s="375">
        <f t="shared" si="76"/>
        <v>1120.3585199999998</v>
      </c>
      <c r="Q297" s="375">
        <f t="shared" si="76"/>
        <v>542.74896000000024</v>
      </c>
      <c r="R297" s="375">
        <f t="shared" si="76"/>
        <v>158.85637500000038</v>
      </c>
      <c r="S297" s="375">
        <f t="shared" si="76"/>
        <v>180.34379999999996</v>
      </c>
      <c r="T297" s="375">
        <f t="shared" si="76"/>
        <v>68.584721999999744</v>
      </c>
      <c r="U297" s="375">
        <f t="shared" si="76"/>
        <v>11.742542000000011</v>
      </c>
      <c r="V297" s="375">
        <f t="shared" si="76"/>
        <v>11.42685000000006</v>
      </c>
      <c r="W297" s="375">
        <f t="shared" si="76"/>
        <v>1.8377249999999881</v>
      </c>
      <c r="X297" s="375">
        <f t="shared" si="76"/>
        <v>0</v>
      </c>
      <c r="Y297" s="369"/>
    </row>
    <row r="298" spans="1:25" ht="13.5" thickBot="1" x14ac:dyDescent="0.2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3.5" thickBot="1" x14ac:dyDescent="0.25">
      <c r="A299" s="361" t="s">
        <v>47</v>
      </c>
      <c r="B299" s="359">
        <f>ROW(A299)</f>
        <v>299</v>
      </c>
      <c r="C299" s="363" t="s">
        <v>118</v>
      </c>
      <c r="D299" s="353">
        <f>SUM(B302:Y302)</f>
        <v>1E-3</v>
      </c>
      <c r="E299" s="363" t="s">
        <v>117</v>
      </c>
      <c r="F299" s="354">
        <f>D299/g/J299</f>
        <v>1.019367991845056</v>
      </c>
      <c r="G299" s="363" t="s">
        <v>59</v>
      </c>
      <c r="H299" s="64">
        <v>1E-4</v>
      </c>
      <c r="I299" s="363" t="s">
        <v>276</v>
      </c>
      <c r="J299" s="355">
        <f>H299-L299</f>
        <v>1E-4</v>
      </c>
      <c r="K299" s="363" t="s">
        <v>277</v>
      </c>
      <c r="L299" s="64">
        <v>0</v>
      </c>
      <c r="M299" s="363" t="s">
        <v>60</v>
      </c>
      <c r="N299" s="65">
        <v>0</v>
      </c>
      <c r="O299" s="363" t="s">
        <v>62</v>
      </c>
      <c r="P299" s="65">
        <v>0</v>
      </c>
      <c r="Q299" s="363" t="s">
        <v>63</v>
      </c>
      <c r="R299" s="65">
        <v>0</v>
      </c>
      <c r="S299" s="363" t="s">
        <v>64</v>
      </c>
      <c r="T299" s="65">
        <v>0</v>
      </c>
      <c r="U299" s="363" t="s">
        <v>57</v>
      </c>
      <c r="V299" s="66" t="s">
        <v>121</v>
      </c>
      <c r="W299" s="12"/>
      <c r="X299" s="12"/>
      <c r="Y299" s="12"/>
    </row>
    <row r="300" spans="1:25" x14ac:dyDescent="0.2">
      <c r="A300" s="362" t="s">
        <v>33</v>
      </c>
      <c r="B300" s="370">
        <v>0</v>
      </c>
      <c r="C300" s="371">
        <v>0.1</v>
      </c>
      <c r="D300" s="371">
        <v>0.2</v>
      </c>
      <c r="E300" s="371">
        <v>1</v>
      </c>
      <c r="F300" s="371">
        <v>1</v>
      </c>
      <c r="G300" s="371">
        <v>1</v>
      </c>
      <c r="H300" s="371">
        <v>1</v>
      </c>
      <c r="I300" s="371">
        <v>1</v>
      </c>
      <c r="J300" s="371">
        <v>1</v>
      </c>
      <c r="K300" s="371">
        <v>1</v>
      </c>
      <c r="L300" s="371">
        <v>1</v>
      </c>
      <c r="M300" s="371">
        <v>1</v>
      </c>
      <c r="N300" s="371">
        <v>1</v>
      </c>
      <c r="O300" s="371">
        <v>1</v>
      </c>
      <c r="P300" s="371">
        <v>1</v>
      </c>
      <c r="Q300" s="371">
        <v>1</v>
      </c>
      <c r="R300" s="371">
        <v>1</v>
      </c>
      <c r="S300" s="371">
        <v>1</v>
      </c>
      <c r="T300" s="371">
        <v>1</v>
      </c>
      <c r="U300" s="371">
        <v>1</v>
      </c>
      <c r="V300" s="371">
        <v>1</v>
      </c>
      <c r="W300" s="371">
        <v>1</v>
      </c>
      <c r="X300" s="371">
        <v>1</v>
      </c>
      <c r="Y300" s="381">
        <v>1000</v>
      </c>
    </row>
    <row r="301" spans="1:25" x14ac:dyDescent="0.2">
      <c r="A301" s="378" t="s">
        <v>34</v>
      </c>
      <c r="B301" s="372">
        <v>0</v>
      </c>
      <c r="C301" s="373">
        <v>0.01</v>
      </c>
      <c r="D301" s="373">
        <v>0</v>
      </c>
      <c r="E301" s="373">
        <v>0</v>
      </c>
      <c r="F301" s="373">
        <v>0</v>
      </c>
      <c r="G301" s="373">
        <v>0</v>
      </c>
      <c r="H301" s="373">
        <v>0</v>
      </c>
      <c r="I301" s="373">
        <v>0</v>
      </c>
      <c r="J301" s="373">
        <v>0</v>
      </c>
      <c r="K301" s="373">
        <v>0</v>
      </c>
      <c r="L301" s="373">
        <v>0</v>
      </c>
      <c r="M301" s="373">
        <v>0</v>
      </c>
      <c r="N301" s="373">
        <v>0</v>
      </c>
      <c r="O301" s="373">
        <v>0</v>
      </c>
      <c r="P301" s="373">
        <v>0</v>
      </c>
      <c r="Q301" s="373">
        <v>0</v>
      </c>
      <c r="R301" s="373">
        <v>0</v>
      </c>
      <c r="S301" s="373">
        <v>0</v>
      </c>
      <c r="T301" s="373">
        <v>0</v>
      </c>
      <c r="U301" s="373">
        <v>0</v>
      </c>
      <c r="V301" s="373">
        <v>0</v>
      </c>
      <c r="W301" s="373">
        <v>0</v>
      </c>
      <c r="X301" s="373">
        <v>0</v>
      </c>
      <c r="Y301" s="382">
        <v>0</v>
      </c>
    </row>
    <row r="302" spans="1:25" ht="13.5" thickBot="1" x14ac:dyDescent="0.25">
      <c r="A302" s="379" t="s">
        <v>119</v>
      </c>
      <c r="B302" s="374">
        <f t="shared" ref="B302:G302" si="77">(C301+B301)*(C300-B300)/2</f>
        <v>5.0000000000000001E-4</v>
      </c>
      <c r="C302" s="375">
        <f t="shared" si="77"/>
        <v>5.0000000000000001E-4</v>
      </c>
      <c r="D302" s="375">
        <f t="shared" si="77"/>
        <v>0</v>
      </c>
      <c r="E302" s="375">
        <f t="shared" si="77"/>
        <v>0</v>
      </c>
      <c r="F302" s="375">
        <f t="shared" si="77"/>
        <v>0</v>
      </c>
      <c r="G302" s="375">
        <f t="shared" si="77"/>
        <v>0</v>
      </c>
      <c r="H302" s="375">
        <f t="shared" ref="H302:V302" si="78">(I301+H301)*(I300-H300)/2</f>
        <v>0</v>
      </c>
      <c r="I302" s="375">
        <f t="shared" si="78"/>
        <v>0</v>
      </c>
      <c r="J302" s="375">
        <f>(K301+J301)*(K300-J300)/2</f>
        <v>0</v>
      </c>
      <c r="K302" s="375">
        <f t="shared" si="78"/>
        <v>0</v>
      </c>
      <c r="L302" s="375">
        <f t="shared" si="78"/>
        <v>0</v>
      </c>
      <c r="M302" s="375">
        <f t="shared" si="78"/>
        <v>0</v>
      </c>
      <c r="N302" s="375">
        <f t="shared" si="78"/>
        <v>0</v>
      </c>
      <c r="O302" s="375">
        <f t="shared" si="78"/>
        <v>0</v>
      </c>
      <c r="P302" s="375">
        <f t="shared" si="78"/>
        <v>0</v>
      </c>
      <c r="Q302" s="375">
        <f t="shared" si="78"/>
        <v>0</v>
      </c>
      <c r="R302" s="375">
        <f t="shared" si="78"/>
        <v>0</v>
      </c>
      <c r="S302" s="375">
        <f>(T301+S301)*(T300-S300)/2</f>
        <v>0</v>
      </c>
      <c r="T302" s="375">
        <f t="shared" si="78"/>
        <v>0</v>
      </c>
      <c r="U302" s="375">
        <f t="shared" si="78"/>
        <v>0</v>
      </c>
      <c r="V302" s="375">
        <f t="shared" si="78"/>
        <v>0</v>
      </c>
      <c r="W302" s="375">
        <f>(X301+W301)*(X300-W300)/2</f>
        <v>0</v>
      </c>
      <c r="X302" s="375">
        <f>(Y301+X301)*(Y300-X300)/2</f>
        <v>0</v>
      </c>
      <c r="Y302" s="369"/>
    </row>
    <row r="304" spans="1:25" x14ac:dyDescent="0.2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6" spans="1:19" x14ac:dyDescent="0.2">
      <c r="A306" s="397" t="str">
        <f>IF(Lang="Français","Liste des propu affichés :","Motor list (shown):")</f>
        <v>Liste des propu affichés :</v>
      </c>
      <c r="C306" s="640" t="s">
        <v>281</v>
      </c>
      <c r="D306" s="641"/>
      <c r="F306" s="640" t="s">
        <v>186</v>
      </c>
      <c r="G306" s="641"/>
      <c r="H306" s="12"/>
      <c r="I306" s="640" t="s">
        <v>403</v>
      </c>
      <c r="J306" s="641"/>
      <c r="K306" s="12"/>
      <c r="L306" s="640" t="s">
        <v>187</v>
      </c>
      <c r="M306" s="641"/>
      <c r="O306" s="640" t="s">
        <v>402</v>
      </c>
      <c r="P306" s="641"/>
      <c r="R306" s="640" t="s">
        <v>121</v>
      </c>
      <c r="S306" s="641"/>
    </row>
    <row r="307" spans="1:19" x14ac:dyDescent="0.2">
      <c r="A307" s="398" t="str">
        <f t="array" ref="A307:A336">IF(RIGHT(Type_fusee,1)=".",Liste_fusex, IF(LEFT(Type_fusee,4)="Mini",Liste_minif, IF(LEFT(Type_fusee,5)="Micro",Liste_µfu, IF(RIGHT(Type_fusee,1)=" ",Liste_H2O, IF(LEFT(Type_fusee,1)="R",Liste_RC, IF(LEFT(Type_fusee,1)=",",Liste_minifT))))))</f>
        <v>Barasinga (Pro54-5G)</v>
      </c>
      <c r="C307" s="630" t="str">
        <f>A26</f>
        <v>H2O 1.5L 300g 6bar</v>
      </c>
      <c r="D307" s="631"/>
      <c r="F307" s="630" t="str">
        <f>A67</f>
        <v>µ-propu A8-3</v>
      </c>
      <c r="G307" s="631"/>
      <c r="H307" s="473"/>
      <c r="I307" s="634" t="str">
        <f>A133</f>
        <v>p29-1G 41F36</v>
      </c>
      <c r="J307" s="635"/>
      <c r="K307" s="473"/>
      <c r="L307" s="634" t="str">
        <f>A113</f>
        <v>p24-1G 25E75 (Rufina)</v>
      </c>
      <c r="M307" s="635"/>
      <c r="O307" s="630" t="str">
        <f>A108</f>
        <v>p24-1G 24E22</v>
      </c>
      <c r="P307" s="631"/>
      <c r="R307" s="630" t="str">
        <f>A274</f>
        <v>Barasinga (Pro54-5G)</v>
      </c>
      <c r="S307" s="631"/>
    </row>
    <row r="308" spans="1:19" x14ac:dyDescent="0.2">
      <c r="A308" s="398" t="str">
        <v>Orignal (Pro75-3G)</v>
      </c>
      <c r="C308" s="630" t="str">
        <f>A31</f>
        <v>H2O 1.5L 450g 6bar</v>
      </c>
      <c r="D308" s="631"/>
      <c r="F308" s="630" t="str">
        <f>A72</f>
        <v>µ-propu B4-4</v>
      </c>
      <c r="G308" s="631"/>
      <c r="H308" s="473"/>
      <c r="I308" s="634" t="str">
        <f>A138</f>
        <v>p29-1G 51F36</v>
      </c>
      <c r="J308" s="635"/>
      <c r="K308" s="473"/>
      <c r="L308" s="634" t="str">
        <f>A148</f>
        <v>p29-1G 56F120</v>
      </c>
      <c r="M308" s="635"/>
      <c r="O308" s="630" t="str">
        <f>A113</f>
        <v>p24-1G 25E75 (Rufina)</v>
      </c>
      <c r="P308" s="631"/>
      <c r="R308" s="630" t="str">
        <f>A284</f>
        <v>Orignal (Pro75-3G)</v>
      </c>
      <c r="S308" s="631"/>
    </row>
    <row r="309" spans="1:19" x14ac:dyDescent="0.2">
      <c r="A309" s="398" t="str">
        <v xml:space="preserve"> </v>
      </c>
      <c r="C309" s="630" t="str">
        <f>A36</f>
        <v>H2O 1.5L 600g 6bar</v>
      </c>
      <c r="D309" s="631"/>
      <c r="F309" s="630" t="str">
        <f>A77</f>
        <v>µ-propu C6-3</v>
      </c>
      <c r="G309" s="631"/>
      <c r="H309" s="473"/>
      <c r="I309" s="634" t="str">
        <f>A143</f>
        <v>p29-1G 55F29</v>
      </c>
      <c r="J309" s="635"/>
      <c r="K309" s="473"/>
      <c r="L309" s="634" t="str">
        <f>A218</f>
        <v>p29-2G 110G250</v>
      </c>
      <c r="M309" s="635"/>
      <c r="O309" s="630" t="str">
        <f>A118</f>
        <v>p24-1G 26E31</v>
      </c>
      <c r="P309" s="631"/>
      <c r="R309" s="630" t="s">
        <v>188</v>
      </c>
      <c r="S309" s="631"/>
    </row>
    <row r="310" spans="1:19" x14ac:dyDescent="0.2">
      <c r="A310" s="398" t="str">
        <v xml:space="preserve"> </v>
      </c>
      <c r="C310" s="630" t="str">
        <f>A41</f>
        <v>H2O 1.5L 750g 6bar</v>
      </c>
      <c r="D310" s="631"/>
      <c r="F310" s="630" t="str">
        <f>A82</f>
        <v>µ-propu C6-3 x2</v>
      </c>
      <c r="G310" s="631"/>
      <c r="H310" s="473"/>
      <c r="I310" s="634" t="str">
        <f>A148</f>
        <v>p29-1G 56F120</v>
      </c>
      <c r="J310" s="635"/>
      <c r="K310" s="473"/>
      <c r="L310" s="634" t="str">
        <f>A258</f>
        <v>Cariacou</v>
      </c>
      <c r="M310" s="635"/>
      <c r="O310" s="630" t="str">
        <f>A123</f>
        <v>p24-2G 50E51</v>
      </c>
      <c r="P310" s="631"/>
      <c r="R310" s="630" t="s">
        <v>188</v>
      </c>
      <c r="S310" s="631"/>
    </row>
    <row r="311" spans="1:19" x14ac:dyDescent="0.2">
      <c r="A311" s="398" t="str">
        <v xml:space="preserve"> </v>
      </c>
      <c r="C311" s="630" t="str">
        <f>A46</f>
        <v>H2O 2.0L 400g 6bar</v>
      </c>
      <c r="D311" s="631"/>
      <c r="F311" s="630" t="str">
        <f>A87</f>
        <v>µ-propu C6-3 x3</v>
      </c>
      <c r="G311" s="631"/>
      <c r="H311" s="473"/>
      <c r="I311" s="634" t="str">
        <f>A153</f>
        <v>p29-1G 57F59</v>
      </c>
      <c r="J311" s="635"/>
      <c r="K311" s="473"/>
      <c r="L311" s="634" t="str">
        <f>A193</f>
        <v>Pandora</v>
      </c>
      <c r="M311" s="635"/>
      <c r="O311" s="630" t="str">
        <f>A128</f>
        <v>p24-1G 53E70</v>
      </c>
      <c r="P311" s="631"/>
      <c r="R311" s="630" t="s">
        <v>188</v>
      </c>
      <c r="S311" s="631"/>
    </row>
    <row r="312" spans="1:19" x14ac:dyDescent="0.2">
      <c r="A312" s="398" t="str">
        <v xml:space="preserve"> </v>
      </c>
      <c r="C312" s="630" t="str">
        <f>A51</f>
        <v>H2O 2.0L 600g 6bar</v>
      </c>
      <c r="D312" s="631"/>
      <c r="F312" s="630" t="s">
        <v>188</v>
      </c>
      <c r="G312" s="631"/>
      <c r="H312" s="473"/>
      <c r="I312" s="634" t="str">
        <f>A158</f>
        <v>p24-3G 60F50</v>
      </c>
      <c r="J312" s="635"/>
      <c r="K312" s="473"/>
      <c r="L312" s="630" t="s">
        <v>188</v>
      </c>
      <c r="M312" s="631"/>
      <c r="O312" s="630" t="str">
        <f>A133</f>
        <v>p29-1G 41F36</v>
      </c>
      <c r="P312" s="631"/>
      <c r="R312" s="630" t="s">
        <v>188</v>
      </c>
      <c r="S312" s="631"/>
    </row>
    <row r="313" spans="1:19" x14ac:dyDescent="0.2">
      <c r="A313" s="398" t="str">
        <v xml:space="preserve"> </v>
      </c>
      <c r="C313" s="630" t="str">
        <f>A56</f>
        <v>H2O 2.0L 800g 6bar</v>
      </c>
      <c r="D313" s="631"/>
      <c r="F313" s="630" t="s">
        <v>188</v>
      </c>
      <c r="G313" s="631"/>
      <c r="H313" s="473"/>
      <c r="I313" s="634" t="str">
        <f>A163</f>
        <v>p24-3G 68F79</v>
      </c>
      <c r="J313" s="635"/>
      <c r="K313" s="473"/>
      <c r="L313" s="630" t="s">
        <v>188</v>
      </c>
      <c r="M313" s="631"/>
      <c r="O313" s="630" t="str">
        <f>A138</f>
        <v>p29-1G 51F36</v>
      </c>
      <c r="P313" s="631"/>
      <c r="R313" s="630" t="s">
        <v>188</v>
      </c>
      <c r="S313" s="631"/>
    </row>
    <row r="314" spans="1:19" x14ac:dyDescent="0.2">
      <c r="A314" s="398" t="str">
        <v xml:space="preserve"> </v>
      </c>
      <c r="C314" s="630" t="str">
        <f>A61</f>
        <v>H2O 2.0L 1000g 6bar</v>
      </c>
      <c r="D314" s="631"/>
      <c r="F314" s="630" t="s">
        <v>188</v>
      </c>
      <c r="G314" s="631"/>
      <c r="H314" s="473"/>
      <c r="I314" s="634" t="str">
        <f>A168</f>
        <v>p24-3G 68F240</v>
      </c>
      <c r="J314" s="635"/>
      <c r="K314" s="473"/>
      <c r="L314" s="630" t="s">
        <v>188</v>
      </c>
      <c r="M314" s="631"/>
      <c r="O314" s="630" t="str">
        <f>A143</f>
        <v>p29-1G 55F29</v>
      </c>
      <c r="P314" s="631"/>
      <c r="R314" s="630" t="s">
        <v>188</v>
      </c>
      <c r="S314" s="631"/>
    </row>
    <row r="315" spans="1:19" x14ac:dyDescent="0.2">
      <c r="A315" s="398" t="str">
        <v xml:space="preserve"> </v>
      </c>
      <c r="C315" s="630" t="s">
        <v>188</v>
      </c>
      <c r="D315" s="631"/>
      <c r="F315" s="630" t="s">
        <v>188</v>
      </c>
      <c r="G315" s="631"/>
      <c r="H315" s="473"/>
      <c r="I315" s="634" t="str">
        <f>A173</f>
        <v>p24-3G 73F30</v>
      </c>
      <c r="J315" s="635"/>
      <c r="K315" s="473"/>
      <c r="L315" s="630" t="s">
        <v>188</v>
      </c>
      <c r="M315" s="631"/>
      <c r="O315" s="630" t="str">
        <f>A148</f>
        <v>p29-1G 56F120</v>
      </c>
      <c r="P315" s="631"/>
      <c r="R315" s="630" t="s">
        <v>188</v>
      </c>
      <c r="S315" s="631"/>
    </row>
    <row r="316" spans="1:19" x14ac:dyDescent="0.2">
      <c r="A316" s="398" t="str">
        <v xml:space="preserve"> </v>
      </c>
      <c r="C316" s="630" t="s">
        <v>188</v>
      </c>
      <c r="D316" s="631"/>
      <c r="F316" s="630" t="s">
        <v>188</v>
      </c>
      <c r="G316" s="631"/>
      <c r="H316" s="473"/>
      <c r="I316" s="634" t="str">
        <f>A178</f>
        <v>p24-3G 74F85</v>
      </c>
      <c r="J316" s="635"/>
      <c r="K316" s="473"/>
      <c r="L316" s="630" t="s">
        <v>188</v>
      </c>
      <c r="M316" s="631"/>
      <c r="O316" s="630" t="str">
        <f>A153</f>
        <v>p29-1G 57F59</v>
      </c>
      <c r="P316" s="631"/>
      <c r="R316" s="630" t="s">
        <v>188</v>
      </c>
      <c r="S316" s="631"/>
    </row>
    <row r="317" spans="1:19" x14ac:dyDescent="0.2">
      <c r="A317" s="398" t="str">
        <v xml:space="preserve"> </v>
      </c>
      <c r="C317" s="630" t="s">
        <v>188</v>
      </c>
      <c r="D317" s="631"/>
      <c r="F317" s="630" t="s">
        <v>188</v>
      </c>
      <c r="G317" s="631"/>
      <c r="H317" s="473"/>
      <c r="I317" s="634" t="str">
        <f>A183</f>
        <v>p24-3G 75F51</v>
      </c>
      <c r="J317" s="635"/>
      <c r="K317" s="473"/>
      <c r="L317" s="630" t="s">
        <v>188</v>
      </c>
      <c r="M317" s="631"/>
      <c r="O317" s="630" t="str">
        <f>A158</f>
        <v>p24-3G 60F50</v>
      </c>
      <c r="P317" s="631"/>
      <c r="R317" s="630" t="s">
        <v>188</v>
      </c>
      <c r="S317" s="631"/>
    </row>
    <row r="318" spans="1:19" x14ac:dyDescent="0.2">
      <c r="A318" s="398" t="str">
        <v xml:space="preserve"> </v>
      </c>
      <c r="C318" s="630" t="s">
        <v>188</v>
      </c>
      <c r="D318" s="631"/>
      <c r="F318" s="630" t="s">
        <v>188</v>
      </c>
      <c r="G318" s="631"/>
      <c r="H318" s="473"/>
      <c r="I318" s="634"/>
      <c r="J318" s="635"/>
      <c r="K318" s="473"/>
      <c r="L318" s="630" t="s">
        <v>188</v>
      </c>
      <c r="M318" s="631"/>
      <c r="O318" s="630" t="str">
        <f>A163</f>
        <v>p24-3G 68F79</v>
      </c>
      <c r="P318" s="631"/>
      <c r="R318" s="630" t="s">
        <v>188</v>
      </c>
      <c r="S318" s="631"/>
    </row>
    <row r="319" spans="1:19" x14ac:dyDescent="0.2">
      <c r="A319" s="398" t="str">
        <v xml:space="preserve"> </v>
      </c>
      <c r="C319" s="630" t="s">
        <v>188</v>
      </c>
      <c r="D319" s="631"/>
      <c r="F319" s="630" t="s">
        <v>188</v>
      </c>
      <c r="G319" s="631"/>
      <c r="H319" s="473"/>
      <c r="I319" s="634"/>
      <c r="J319" s="635"/>
      <c r="K319" s="473"/>
      <c r="L319" s="630" t="s">
        <v>188</v>
      </c>
      <c r="M319" s="631"/>
      <c r="O319" s="630" t="str">
        <f>A168</f>
        <v>p24-3G 68F240</v>
      </c>
      <c r="P319" s="631"/>
      <c r="R319" s="630" t="s">
        <v>188</v>
      </c>
      <c r="S319" s="631"/>
    </row>
    <row r="320" spans="1:19" x14ac:dyDescent="0.2">
      <c r="A320" s="398" t="str">
        <v xml:space="preserve"> </v>
      </c>
      <c r="C320" s="630" t="s">
        <v>188</v>
      </c>
      <c r="D320" s="631"/>
      <c r="F320" s="630" t="s">
        <v>188</v>
      </c>
      <c r="G320" s="631"/>
      <c r="H320" s="473"/>
      <c r="I320" s="634"/>
      <c r="J320" s="635"/>
      <c r="K320" s="473"/>
      <c r="L320" s="630" t="s">
        <v>188</v>
      </c>
      <c r="M320" s="631"/>
      <c r="O320" s="630" t="str">
        <f>A173</f>
        <v>p24-3G 73F30</v>
      </c>
      <c r="P320" s="631"/>
      <c r="R320" s="630" t="s">
        <v>188</v>
      </c>
      <c r="S320" s="631"/>
    </row>
    <row r="321" spans="1:19" x14ac:dyDescent="0.2">
      <c r="A321" s="398" t="str">
        <v xml:space="preserve"> </v>
      </c>
      <c r="C321" s="630" t="s">
        <v>188</v>
      </c>
      <c r="D321" s="631"/>
      <c r="F321" s="630" t="s">
        <v>188</v>
      </c>
      <c r="G321" s="631"/>
      <c r="H321" s="473"/>
      <c r="I321" s="637" t="s">
        <v>188</v>
      </c>
      <c r="J321" s="638"/>
      <c r="K321" s="473"/>
      <c r="L321" s="630" t="s">
        <v>188</v>
      </c>
      <c r="M321" s="631"/>
      <c r="O321" s="630" t="str">
        <f>A178</f>
        <v>p24-3G 74F85</v>
      </c>
      <c r="P321" s="631"/>
      <c r="R321" s="630" t="s">
        <v>188</v>
      </c>
      <c r="S321" s="631"/>
    </row>
    <row r="322" spans="1:19" x14ac:dyDescent="0.2">
      <c r="A322" s="462" t="str">
        <v xml:space="preserve"> </v>
      </c>
      <c r="C322" s="632" t="s">
        <v>188</v>
      </c>
      <c r="D322" s="633"/>
      <c r="F322" s="632" t="s">
        <v>188</v>
      </c>
      <c r="G322" s="633"/>
      <c r="H322" s="473"/>
      <c r="I322" s="632" t="s">
        <v>188</v>
      </c>
      <c r="J322" s="633"/>
      <c r="K322" s="473"/>
      <c r="L322" s="632" t="s">
        <v>188</v>
      </c>
      <c r="M322" s="633"/>
      <c r="O322" s="630" t="str">
        <f>A183</f>
        <v>p24-3G 75F51</v>
      </c>
      <c r="P322" s="631"/>
      <c r="R322" s="632" t="s">
        <v>188</v>
      </c>
      <c r="S322" s="633"/>
    </row>
    <row r="323" spans="1:19" x14ac:dyDescent="0.2">
      <c r="A323" s="398" t="str">
        <v xml:space="preserve"> </v>
      </c>
      <c r="C323" s="639" t="s">
        <v>188</v>
      </c>
      <c r="D323" s="639"/>
      <c r="F323" s="639" t="s">
        <v>188</v>
      </c>
      <c r="G323" s="639"/>
      <c r="I323" s="636" t="s">
        <v>188</v>
      </c>
      <c r="J323" s="636"/>
      <c r="L323" s="636" t="s">
        <v>188</v>
      </c>
      <c r="M323" s="636"/>
      <c r="O323" s="630" t="str">
        <f>A208</f>
        <v>p29-2G 84G88</v>
      </c>
      <c r="P323" s="631"/>
      <c r="R323" s="643" t="s">
        <v>188</v>
      </c>
      <c r="S323" s="643"/>
    </row>
    <row r="324" spans="1:19" x14ac:dyDescent="0.2">
      <c r="A324" s="398" t="str">
        <v>Isard</v>
      </c>
      <c r="C324" s="629" t="s">
        <v>188</v>
      </c>
      <c r="D324" s="629"/>
      <c r="F324" s="629" t="s">
        <v>188</v>
      </c>
      <c r="G324" s="629"/>
      <c r="I324" s="636" t="s">
        <v>188</v>
      </c>
      <c r="J324" s="636"/>
      <c r="L324" s="636" t="s">
        <v>188</v>
      </c>
      <c r="M324" s="636"/>
      <c r="O324" s="630" t="str">
        <f>A213</f>
        <v>p29-2G 93G80</v>
      </c>
      <c r="P324" s="631"/>
      <c r="R324" s="642" t="str">
        <f>A264</f>
        <v>Isard</v>
      </c>
      <c r="S324" s="642"/>
    </row>
    <row r="325" spans="1:19" x14ac:dyDescent="0.2">
      <c r="A325" s="398" t="str">
        <v>Chamois</v>
      </c>
      <c r="C325" s="629" t="s">
        <v>188</v>
      </c>
      <c r="D325" s="629"/>
      <c r="F325" s="629" t="s">
        <v>188</v>
      </c>
      <c r="G325" s="629"/>
      <c r="I325" s="636" t="s">
        <v>188</v>
      </c>
      <c r="J325" s="636"/>
      <c r="L325" s="636" t="s">
        <v>188</v>
      </c>
      <c r="M325" s="636"/>
      <c r="O325" s="630" t="str">
        <f>A218</f>
        <v>p29-2G 110G250</v>
      </c>
      <c r="P325" s="631"/>
      <c r="R325" s="642" t="str">
        <f>A269</f>
        <v>Chamois</v>
      </c>
      <c r="S325" s="642"/>
    </row>
    <row r="326" spans="1:19" x14ac:dyDescent="0.2">
      <c r="A326" s="398" t="str">
        <v>Pro75-2G</v>
      </c>
      <c r="C326" s="629" t="s">
        <v>188</v>
      </c>
      <c r="D326" s="629"/>
      <c r="F326" s="629" t="s">
        <v>188</v>
      </c>
      <c r="G326" s="629"/>
      <c r="I326" s="636" t="s">
        <v>188</v>
      </c>
      <c r="J326" s="636"/>
      <c r="L326" s="636" t="s">
        <v>188</v>
      </c>
      <c r="M326" s="636"/>
      <c r="O326" s="630" t="str">
        <f>A223</f>
        <v>p29-2G 116G126</v>
      </c>
      <c r="P326" s="631"/>
      <c r="R326" s="642" t="str">
        <f>A279</f>
        <v>Pro75-2G</v>
      </c>
      <c r="S326" s="642"/>
    </row>
    <row r="327" spans="1:19" x14ac:dyDescent="0.2">
      <c r="A327" s="398" t="str">
        <v>Pro98-2G WT</v>
      </c>
      <c r="C327" s="629" t="s">
        <v>188</v>
      </c>
      <c r="D327" s="629"/>
      <c r="F327" s="629" t="s">
        <v>188</v>
      </c>
      <c r="G327" s="629"/>
      <c r="I327" s="636" t="s">
        <v>188</v>
      </c>
      <c r="J327" s="636"/>
      <c r="L327" s="636" t="s">
        <v>188</v>
      </c>
      <c r="M327" s="636"/>
      <c r="O327" s="630" t="str">
        <f>A228</f>
        <v>p29-3G 125G131</v>
      </c>
      <c r="P327" s="631"/>
      <c r="R327" s="642" t="str">
        <f>A289</f>
        <v>Pro98-2G WT</v>
      </c>
      <c r="S327" s="642"/>
    </row>
    <row r="328" spans="1:19" x14ac:dyDescent="0.2">
      <c r="A328" s="398" t="str">
        <v>Pro98-3G WT</v>
      </c>
      <c r="C328" s="629" t="s">
        <v>188</v>
      </c>
      <c r="D328" s="629"/>
      <c r="F328" s="629" t="s">
        <v>188</v>
      </c>
      <c r="G328" s="629"/>
      <c r="I328" s="636" t="s">
        <v>188</v>
      </c>
      <c r="J328" s="636"/>
      <c r="L328" s="636" t="s">
        <v>188</v>
      </c>
      <c r="M328" s="636"/>
      <c r="O328" s="630" t="str">
        <f>A243</f>
        <v>p38-1G 128G185</v>
      </c>
      <c r="P328" s="631"/>
      <c r="R328" s="642" t="str">
        <f>A294</f>
        <v>Pro98-3G WT</v>
      </c>
      <c r="S328" s="642"/>
    </row>
    <row r="329" spans="1:19" x14ac:dyDescent="0.2">
      <c r="A329" s="398" t="str">
        <v>Aucun (2e ét. inerte)</v>
      </c>
      <c r="C329" s="629" t="s">
        <v>188</v>
      </c>
      <c r="D329" s="629"/>
      <c r="F329" s="629" t="s">
        <v>188</v>
      </c>
      <c r="G329" s="629"/>
      <c r="I329" s="636" t="s">
        <v>188</v>
      </c>
      <c r="J329" s="636"/>
      <c r="L329" s="636" t="s">
        <v>188</v>
      </c>
      <c r="M329" s="636"/>
      <c r="O329" s="630" t="str">
        <f>A238</f>
        <v>p38-1G 137G58</v>
      </c>
      <c r="P329" s="631"/>
      <c r="R329" s="642" t="str">
        <f>A299</f>
        <v>Aucun (2e ét. inerte)</v>
      </c>
      <c r="S329" s="642"/>
    </row>
    <row r="330" spans="1:19" x14ac:dyDescent="0.2">
      <c r="A330" s="398" t="str">
        <v xml:space="preserve"> </v>
      </c>
      <c r="C330" s="629" t="s">
        <v>188</v>
      </c>
      <c r="D330" s="629"/>
      <c r="F330" s="629" t="s">
        <v>188</v>
      </c>
      <c r="G330" s="629"/>
      <c r="I330" s="636" t="s">
        <v>188</v>
      </c>
      <c r="J330" s="636"/>
      <c r="L330" s="636" t="s">
        <v>188</v>
      </c>
      <c r="M330" s="636"/>
      <c r="O330" s="630" t="str">
        <f>A248</f>
        <v>p38-1G 141G78</v>
      </c>
      <c r="P330" s="631"/>
      <c r="R330" s="636" t="s">
        <v>188</v>
      </c>
      <c r="S330" s="636"/>
    </row>
    <row r="331" spans="1:19" x14ac:dyDescent="0.2">
      <c r="A331" s="398" t="str">
        <v xml:space="preserve"> </v>
      </c>
      <c r="C331" s="629" t="s">
        <v>188</v>
      </c>
      <c r="D331" s="629"/>
      <c r="F331" s="629" t="s">
        <v>188</v>
      </c>
      <c r="G331" s="629"/>
      <c r="I331" s="629" t="s">
        <v>188</v>
      </c>
      <c r="J331" s="629"/>
      <c r="L331" s="636" t="s">
        <v>188</v>
      </c>
      <c r="M331" s="636"/>
      <c r="O331" s="630" t="str">
        <f>A188</f>
        <v>p24-6G 140G145 PK</v>
      </c>
      <c r="P331" s="631"/>
      <c r="R331" s="629" t="s">
        <v>188</v>
      </c>
      <c r="S331" s="629"/>
    </row>
    <row r="332" spans="1:19" x14ac:dyDescent="0.2">
      <c r="A332" s="398" t="str">
        <v xml:space="preserve"> </v>
      </c>
      <c r="C332" s="629" t="s">
        <v>188</v>
      </c>
      <c r="D332" s="629"/>
      <c r="F332" s="629" t="s">
        <v>188</v>
      </c>
      <c r="G332" s="629"/>
      <c r="I332" s="629" t="s">
        <v>188</v>
      </c>
      <c r="J332" s="629"/>
      <c r="L332" s="636" t="s">
        <v>188</v>
      </c>
      <c r="M332" s="636"/>
      <c r="O332" s="630" t="str">
        <f>A193</f>
        <v>Pandora</v>
      </c>
      <c r="P332" s="631"/>
      <c r="R332" s="629" t="s">
        <v>188</v>
      </c>
      <c r="S332" s="629"/>
    </row>
    <row r="333" spans="1:19" x14ac:dyDescent="0.2">
      <c r="A333" s="398" t="str">
        <v xml:space="preserve"> </v>
      </c>
      <c r="C333" s="629" t="s">
        <v>188</v>
      </c>
      <c r="D333" s="629"/>
      <c r="F333" s="629" t="s">
        <v>188</v>
      </c>
      <c r="G333" s="629"/>
      <c r="I333" s="629" t="s">
        <v>188</v>
      </c>
      <c r="J333" s="629"/>
      <c r="L333" s="629" t="s">
        <v>188</v>
      </c>
      <c r="M333" s="629"/>
      <c r="O333" s="634" t="str">
        <f>A198</f>
        <v>p24-6G 142G117 WT</v>
      </c>
      <c r="P333" s="635"/>
      <c r="R333" s="629" t="s">
        <v>188</v>
      </c>
      <c r="S333" s="629"/>
    </row>
    <row r="334" spans="1:19" x14ac:dyDescent="0.2">
      <c r="A334" s="398" t="str">
        <v xml:space="preserve"> </v>
      </c>
      <c r="C334" s="629" t="s">
        <v>188</v>
      </c>
      <c r="D334" s="629"/>
      <c r="F334" s="629" t="s">
        <v>188</v>
      </c>
      <c r="G334" s="629"/>
      <c r="I334" s="629" t="s">
        <v>188</v>
      </c>
      <c r="J334" s="629"/>
      <c r="L334" s="629" t="s">
        <v>188</v>
      </c>
      <c r="M334" s="629"/>
      <c r="O334" s="634" t="str">
        <f>A203</f>
        <v>p24-6G 139G107 DT</v>
      </c>
      <c r="P334" s="635"/>
      <c r="R334" s="629" t="s">
        <v>188</v>
      </c>
      <c r="S334" s="629"/>
    </row>
    <row r="335" spans="1:19" x14ac:dyDescent="0.2">
      <c r="A335" s="398" t="str">
        <v xml:space="preserve"> </v>
      </c>
      <c r="C335" s="629" t="s">
        <v>188</v>
      </c>
      <c r="D335" s="629"/>
      <c r="F335" s="629" t="s">
        <v>188</v>
      </c>
      <c r="G335" s="629"/>
      <c r="I335" s="629" t="s">
        <v>188</v>
      </c>
      <c r="J335" s="629"/>
      <c r="L335" s="629" t="s">
        <v>188</v>
      </c>
      <c r="M335" s="629"/>
      <c r="O335" s="634" t="str">
        <f>A258</f>
        <v>Cariacou</v>
      </c>
      <c r="P335" s="635"/>
      <c r="R335" s="629" t="s">
        <v>188</v>
      </c>
      <c r="S335" s="629"/>
    </row>
    <row r="336" spans="1:19" x14ac:dyDescent="0.2">
      <c r="A336" s="474" t="str">
        <v xml:space="preserve"> </v>
      </c>
      <c r="C336" s="629" t="s">
        <v>188</v>
      </c>
      <c r="D336" s="629"/>
      <c r="F336" s="629" t="s">
        <v>188</v>
      </c>
      <c r="G336" s="629"/>
      <c r="I336" s="629" t="s">
        <v>188</v>
      </c>
      <c r="J336" s="629"/>
      <c r="L336" s="629" t="s">
        <v>188</v>
      </c>
      <c r="M336" s="629"/>
      <c r="O336" s="644" t="str">
        <f>A253</f>
        <v>Wapiti</v>
      </c>
      <c r="P336" s="645"/>
      <c r="R336" s="629" t="s">
        <v>188</v>
      </c>
      <c r="S336" s="629"/>
    </row>
  </sheetData>
  <sheetProtection password="C6AC" sheet="1"/>
  <dataConsolidate/>
  <mergeCells count="186">
    <mergeCell ref="R335:S335"/>
    <mergeCell ref="O335:P335"/>
    <mergeCell ref="O330:P330"/>
    <mergeCell ref="R336:S336"/>
    <mergeCell ref="R332:S332"/>
    <mergeCell ref="F332:G332"/>
    <mergeCell ref="F333:G333"/>
    <mergeCell ref="F334:G334"/>
    <mergeCell ref="F335:G335"/>
    <mergeCell ref="F336:G336"/>
    <mergeCell ref="O336:P336"/>
    <mergeCell ref="L335:M335"/>
    <mergeCell ref="L336:M336"/>
    <mergeCell ref="L334:M334"/>
    <mergeCell ref="I336:J336"/>
    <mergeCell ref="I335:J335"/>
    <mergeCell ref="O334:P334"/>
    <mergeCell ref="R334:S334"/>
    <mergeCell ref="L332:M332"/>
    <mergeCell ref="R325:S325"/>
    <mergeCell ref="R323:S323"/>
    <mergeCell ref="I327:J327"/>
    <mergeCell ref="I328:J328"/>
    <mergeCell ref="I329:J329"/>
    <mergeCell ref="O331:P331"/>
    <mergeCell ref="L324:M324"/>
    <mergeCell ref="R329:S329"/>
    <mergeCell ref="O333:P333"/>
    <mergeCell ref="R328:S328"/>
    <mergeCell ref="R326:S326"/>
    <mergeCell ref="R327:S327"/>
    <mergeCell ref="R324:S324"/>
    <mergeCell ref="O332:P332"/>
    <mergeCell ref="O325:P325"/>
    <mergeCell ref="R330:S330"/>
    <mergeCell ref="R331:S331"/>
    <mergeCell ref="R333:S333"/>
    <mergeCell ref="O328:P328"/>
    <mergeCell ref="O326:P326"/>
    <mergeCell ref="L333:M333"/>
    <mergeCell ref="I332:J332"/>
    <mergeCell ref="I333:J333"/>
    <mergeCell ref="L331:M331"/>
    <mergeCell ref="F310:G310"/>
    <mergeCell ref="O313:P313"/>
    <mergeCell ref="O310:P310"/>
    <mergeCell ref="O309:P309"/>
    <mergeCell ref="F315:G315"/>
    <mergeCell ref="F316:G316"/>
    <mergeCell ref="F317:G317"/>
    <mergeCell ref="O315:P315"/>
    <mergeCell ref="O320:P320"/>
    <mergeCell ref="O317:P317"/>
    <mergeCell ref="L318:M318"/>
    <mergeCell ref="R321:S321"/>
    <mergeCell ref="L321:M321"/>
    <mergeCell ref="L322:M322"/>
    <mergeCell ref="L319:M319"/>
    <mergeCell ref="L320:M320"/>
    <mergeCell ref="C312:D312"/>
    <mergeCell ref="C322:D322"/>
    <mergeCell ref="R312:S312"/>
    <mergeCell ref="R318:S318"/>
    <mergeCell ref="R322:S322"/>
    <mergeCell ref="F318:G318"/>
    <mergeCell ref="F312:G312"/>
    <mergeCell ref="O316:P316"/>
    <mergeCell ref="F313:G313"/>
    <mergeCell ref="O321:P321"/>
    <mergeCell ref="O314:P314"/>
    <mergeCell ref="O312:P312"/>
    <mergeCell ref="O322:P322"/>
    <mergeCell ref="F322:G322"/>
    <mergeCell ref="C319:D319"/>
    <mergeCell ref="I318:J318"/>
    <mergeCell ref="C317:D317"/>
    <mergeCell ref="C316:D316"/>
    <mergeCell ref="C315:D315"/>
    <mergeCell ref="R306:S306"/>
    <mergeCell ref="R307:S307"/>
    <mergeCell ref="R308:S308"/>
    <mergeCell ref="R309:S309"/>
    <mergeCell ref="R310:S310"/>
    <mergeCell ref="R317:S317"/>
    <mergeCell ref="L310:M310"/>
    <mergeCell ref="I306:J306"/>
    <mergeCell ref="R320:S320"/>
    <mergeCell ref="R319:S319"/>
    <mergeCell ref="O319:P319"/>
    <mergeCell ref="I309:J309"/>
    <mergeCell ref="O308:P308"/>
    <mergeCell ref="O307:P307"/>
    <mergeCell ref="I310:J310"/>
    <mergeCell ref="L308:M308"/>
    <mergeCell ref="L309:M309"/>
    <mergeCell ref="O306:P306"/>
    <mergeCell ref="I307:J307"/>
    <mergeCell ref="I308:J308"/>
    <mergeCell ref="R316:S316"/>
    <mergeCell ref="O318:P318"/>
    <mergeCell ref="I319:J319"/>
    <mergeCell ref="I320:J320"/>
    <mergeCell ref="C311:D311"/>
    <mergeCell ref="O311:P311"/>
    <mergeCell ref="R311:S311"/>
    <mergeCell ref="R315:S315"/>
    <mergeCell ref="R314:S314"/>
    <mergeCell ref="R313:S313"/>
    <mergeCell ref="I311:J311"/>
    <mergeCell ref="I312:J312"/>
    <mergeCell ref="I313:J313"/>
    <mergeCell ref="C314:D314"/>
    <mergeCell ref="C313:D313"/>
    <mergeCell ref="F314:G314"/>
    <mergeCell ref="F311:G311"/>
    <mergeCell ref="C324:D324"/>
    <mergeCell ref="L328:M328"/>
    <mergeCell ref="F323:G323"/>
    <mergeCell ref="C321:D321"/>
    <mergeCell ref="C320:D320"/>
    <mergeCell ref="C318:D318"/>
    <mergeCell ref="C323:D323"/>
    <mergeCell ref="F328:G328"/>
    <mergeCell ref="L306:M306"/>
    <mergeCell ref="L307:M307"/>
    <mergeCell ref="L316:M316"/>
    <mergeCell ref="L317:M317"/>
    <mergeCell ref="L311:M311"/>
    <mergeCell ref="L312:M312"/>
    <mergeCell ref="C306:D306"/>
    <mergeCell ref="C307:D307"/>
    <mergeCell ref="C308:D308"/>
    <mergeCell ref="C309:D309"/>
    <mergeCell ref="C310:D310"/>
    <mergeCell ref="F306:G306"/>
    <mergeCell ref="F309:G309"/>
    <mergeCell ref="F308:G308"/>
    <mergeCell ref="F307:G307"/>
    <mergeCell ref="F319:G319"/>
    <mergeCell ref="I321:J321"/>
    <mergeCell ref="F320:G320"/>
    <mergeCell ref="F321:G321"/>
    <mergeCell ref="O329:P329"/>
    <mergeCell ref="I324:J324"/>
    <mergeCell ref="I325:J325"/>
    <mergeCell ref="I330:J330"/>
    <mergeCell ref="L327:M327"/>
    <mergeCell ref="I331:J331"/>
    <mergeCell ref="F329:G329"/>
    <mergeCell ref="F330:G330"/>
    <mergeCell ref="L329:M329"/>
    <mergeCell ref="L330:M330"/>
    <mergeCell ref="F331:G331"/>
    <mergeCell ref="O327:P327"/>
    <mergeCell ref="F324:G324"/>
    <mergeCell ref="F325:G325"/>
    <mergeCell ref="F326:G326"/>
    <mergeCell ref="F327:G327"/>
    <mergeCell ref="O323:P323"/>
    <mergeCell ref="I326:J326"/>
    <mergeCell ref="L323:M323"/>
    <mergeCell ref="O324:P324"/>
    <mergeCell ref="C335:D335"/>
    <mergeCell ref="C336:D336"/>
    <mergeCell ref="C325:D325"/>
    <mergeCell ref="C326:D326"/>
    <mergeCell ref="C327:D327"/>
    <mergeCell ref="C328:D328"/>
    <mergeCell ref="C329:D329"/>
    <mergeCell ref="C330:D330"/>
    <mergeCell ref="L313:M313"/>
    <mergeCell ref="L314:M314"/>
    <mergeCell ref="L315:M315"/>
    <mergeCell ref="I322:J322"/>
    <mergeCell ref="I314:J314"/>
    <mergeCell ref="I315:J315"/>
    <mergeCell ref="I316:J316"/>
    <mergeCell ref="I317:J317"/>
    <mergeCell ref="C334:D334"/>
    <mergeCell ref="C331:D331"/>
    <mergeCell ref="C332:D332"/>
    <mergeCell ref="C333:D333"/>
    <mergeCell ref="L325:M325"/>
    <mergeCell ref="L326:M326"/>
    <mergeCell ref="I334:J334"/>
    <mergeCell ref="I323:J323"/>
  </mergeCells>
  <phoneticPr fontId="8" type="noConversion"/>
  <pageMargins left="0.39370078740157483" right="0.39370078740157483" top="0.39370078740157483" bottom="0.39370078740157483" header="0" footer="0"/>
  <pageSetup scale="44" firstPageNumber="0" fitToHeight="3" orientation="landscape" horizontalDpi="300" verticalDpi="300"/>
  <headerFooter alignWithMargins="0"/>
  <ignoredErrors>
    <ignoredError sqref="R307:S308 C307:D314 F307:G311 O312:P329 O332:P332 R324:S329 O330:O331 O307:P309 O310:P311 P331" unlocked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1134-95F0-2D4D-BFC4-ECED88733CEF}">
  <sheetPr codeName="Feuil4">
    <pageSetUpPr fitToPage="1"/>
  </sheetPr>
  <dimension ref="A1:IN1075"/>
  <sheetViews>
    <sheetView showGridLines="0" workbookViewId="0">
      <pane xSplit="3" ySplit="7" topLeftCell="D429" activePane="bottomRight" state="frozen"/>
      <selection pane="topRight" activeCell="D1" sqref="D1"/>
      <selection pane="bottomLeft" activeCell="A8" sqref="A8"/>
      <selection pane="bottomRight" activeCell="Q526" sqref="Q526"/>
    </sheetView>
  </sheetViews>
  <sheetFormatPr baseColWidth="10" defaultColWidth="11.7109375" defaultRowHeight="12.75" x14ac:dyDescent="0.2"/>
  <cols>
    <col min="1" max="1" width="4.7109375" style="7" bestFit="1" customWidth="1"/>
    <col min="2" max="2" width="6" style="7" bestFit="1" customWidth="1"/>
    <col min="3" max="3" width="1.28515625" style="8" customWidth="1"/>
    <col min="4" max="4" width="7.140625" style="7" customWidth="1"/>
    <col min="5" max="6" width="7.28515625" style="7" customWidth="1"/>
    <col min="7" max="7" width="7.140625" style="7" customWidth="1"/>
    <col min="8" max="8" width="7.28515625" style="7" customWidth="1"/>
    <col min="9" max="9" width="7.140625" style="7" customWidth="1"/>
    <col min="10" max="12" width="7.7109375" style="7" bestFit="1" customWidth="1"/>
    <col min="13" max="13" width="5.7109375" style="7" customWidth="1"/>
    <col min="14" max="14" width="6.28515625" style="7" customWidth="1"/>
    <col min="15" max="15" width="1.28515625" style="8" customWidth="1"/>
    <col min="16" max="16" width="4" style="7" customWidth="1"/>
    <col min="17" max="17" width="8.7109375" style="7" customWidth="1"/>
    <col min="18" max="18" width="5.7109375" style="7" customWidth="1"/>
    <col min="19" max="19" width="5.28515625" style="7" customWidth="1"/>
    <col min="20" max="20" width="6" style="7" customWidth="1"/>
    <col min="21" max="21" width="8.7109375" style="7" customWidth="1"/>
    <col min="22" max="22" width="6.7109375" style="7" customWidth="1"/>
    <col min="23" max="23" width="7.140625" style="7" customWidth="1"/>
    <col min="24" max="24" width="1.28515625" style="8" customWidth="1"/>
    <col min="25" max="25" width="15.7109375" style="7" customWidth="1"/>
    <col min="26" max="26" width="5.7109375" style="7" customWidth="1"/>
    <col min="27" max="27" width="7.7109375" style="7" customWidth="1"/>
    <col min="28" max="28" width="1.7109375" style="7" customWidth="1"/>
    <col min="29" max="29" width="7.28515625" style="7" bestFit="1" customWidth="1"/>
    <col min="30" max="31" width="6.7109375" style="7" bestFit="1" customWidth="1"/>
    <col min="32" max="32" width="1.85546875" style="7" customWidth="1"/>
    <col min="33" max="238" width="11.28515625" style="7" customWidth="1"/>
    <col min="239" max="239" width="11" style="7" customWidth="1"/>
  </cols>
  <sheetData>
    <row r="1" spans="1:248" ht="13.5" thickBot="1" x14ac:dyDescent="0.25">
      <c r="D1" s="646" t="s">
        <v>270</v>
      </c>
      <c r="E1" s="647"/>
      <c r="F1" s="647"/>
      <c r="G1" s="647"/>
      <c r="H1" s="647"/>
      <c r="I1" s="647"/>
      <c r="J1" s="647"/>
      <c r="K1" s="647"/>
      <c r="L1" s="647"/>
      <c r="M1" s="647"/>
      <c r="N1" s="648"/>
      <c r="P1" s="646" t="s">
        <v>17</v>
      </c>
      <c r="Q1" s="647"/>
      <c r="R1" s="647"/>
      <c r="S1" s="647"/>
      <c r="T1" s="647"/>
      <c r="U1" s="647"/>
      <c r="V1" s="647"/>
      <c r="W1" s="648"/>
      <c r="Y1" s="9"/>
      <c r="Z1" s="9"/>
      <c r="AA1" s="9"/>
      <c r="AC1" s="653" t="s">
        <v>190</v>
      </c>
      <c r="AD1" s="653"/>
      <c r="AE1" s="653"/>
      <c r="AG1" s="649" t="s">
        <v>18</v>
      </c>
      <c r="AH1" s="649"/>
    </row>
    <row r="2" spans="1:248" s="12" customFormat="1" x14ac:dyDescent="0.2">
      <c r="A2" s="330" t="s">
        <v>19</v>
      </c>
      <c r="B2" s="331" t="s">
        <v>2</v>
      </c>
      <c r="C2" s="10"/>
      <c r="D2" s="334" t="s">
        <v>197</v>
      </c>
      <c r="E2" s="335" t="s">
        <v>198</v>
      </c>
      <c r="F2" s="331" t="s">
        <v>199</v>
      </c>
      <c r="G2" s="334" t="s">
        <v>194</v>
      </c>
      <c r="H2" s="335" t="s">
        <v>195</v>
      </c>
      <c r="I2" s="331" t="s">
        <v>196</v>
      </c>
      <c r="J2" s="334" t="s">
        <v>191</v>
      </c>
      <c r="K2" s="335" t="s">
        <v>192</v>
      </c>
      <c r="L2" s="331" t="s">
        <v>193</v>
      </c>
      <c r="M2" s="330" t="s">
        <v>20</v>
      </c>
      <c r="N2" s="331" t="s">
        <v>21</v>
      </c>
      <c r="O2" s="10"/>
      <c r="P2" s="330" t="s">
        <v>26</v>
      </c>
      <c r="Q2" s="331" t="s">
        <v>25</v>
      </c>
      <c r="R2" s="330" t="s">
        <v>22</v>
      </c>
      <c r="S2" s="335" t="s">
        <v>39</v>
      </c>
      <c r="T2" s="331" t="s">
        <v>27</v>
      </c>
      <c r="U2" s="338" t="s">
        <v>28</v>
      </c>
      <c r="V2" s="330" t="s">
        <v>24</v>
      </c>
      <c r="W2" s="331" t="s">
        <v>23</v>
      </c>
      <c r="X2" s="11"/>
      <c r="Y2" s="650" t="s">
        <v>189</v>
      </c>
      <c r="Z2" s="651"/>
      <c r="AA2" s="652"/>
      <c r="AC2" s="330" t="s">
        <v>11</v>
      </c>
      <c r="AD2" s="335" t="s">
        <v>3</v>
      </c>
      <c r="AE2" s="331" t="s">
        <v>29</v>
      </c>
      <c r="AG2" s="345" t="s">
        <v>31</v>
      </c>
      <c r="AH2" s="346" t="s">
        <v>30</v>
      </c>
      <c r="IF2"/>
      <c r="IG2"/>
      <c r="IH2"/>
      <c r="II2"/>
      <c r="IJ2"/>
      <c r="IK2"/>
      <c r="IL2"/>
      <c r="IM2"/>
      <c r="IN2"/>
    </row>
    <row r="3" spans="1:248" s="12" customFormat="1" x14ac:dyDescent="0.2">
      <c r="A3" s="332" t="s">
        <v>156</v>
      </c>
      <c r="B3" s="333" t="s">
        <v>156</v>
      </c>
      <c r="C3" s="10"/>
      <c r="D3" s="336" t="s">
        <v>7</v>
      </c>
      <c r="E3" s="337" t="s">
        <v>7</v>
      </c>
      <c r="F3" s="333" t="s">
        <v>7</v>
      </c>
      <c r="G3" s="336" t="s">
        <v>157</v>
      </c>
      <c r="H3" s="337" t="s">
        <v>157</v>
      </c>
      <c r="I3" s="333" t="s">
        <v>157</v>
      </c>
      <c r="J3" s="336" t="s">
        <v>39</v>
      </c>
      <c r="K3" s="337" t="s">
        <v>39</v>
      </c>
      <c r="L3" s="333" t="s">
        <v>39</v>
      </c>
      <c r="M3" s="332" t="s">
        <v>248</v>
      </c>
      <c r="N3" s="333" t="s">
        <v>158</v>
      </c>
      <c r="O3" s="10"/>
      <c r="P3" s="336" t="s">
        <v>14</v>
      </c>
      <c r="Q3" s="339" t="s">
        <v>231</v>
      </c>
      <c r="R3" s="336" t="s">
        <v>249</v>
      </c>
      <c r="S3" s="340" t="s">
        <v>232</v>
      </c>
      <c r="T3" s="339" t="s">
        <v>231</v>
      </c>
      <c r="U3" s="341" t="s">
        <v>231</v>
      </c>
      <c r="V3" s="336" t="s">
        <v>8</v>
      </c>
      <c r="W3" s="339" t="s">
        <v>231</v>
      </c>
      <c r="X3" s="11"/>
      <c r="Y3" s="342"/>
      <c r="Z3" s="343"/>
      <c r="AA3" s="344"/>
      <c r="AC3" s="336" t="s">
        <v>156</v>
      </c>
      <c r="AD3" s="340" t="s">
        <v>39</v>
      </c>
      <c r="AE3" s="339" t="s">
        <v>39</v>
      </c>
      <c r="AG3" s="342" t="s">
        <v>7</v>
      </c>
      <c r="AH3" s="339" t="s">
        <v>7</v>
      </c>
      <c r="IF3"/>
      <c r="IG3"/>
      <c r="IH3"/>
      <c r="II3"/>
      <c r="IJ3"/>
      <c r="IK3"/>
      <c r="IL3"/>
      <c r="IM3"/>
      <c r="IN3"/>
    </row>
    <row r="4" spans="1:248" x14ac:dyDescent="0.2">
      <c r="A4" s="292" t="s">
        <v>14</v>
      </c>
      <c r="B4" s="349">
        <f>T_ini</f>
        <v>0</v>
      </c>
      <c r="D4" s="292" t="s">
        <v>14</v>
      </c>
      <c r="E4" s="293" t="s">
        <v>14</v>
      </c>
      <c r="F4" s="294" t="s">
        <v>14</v>
      </c>
      <c r="G4" s="292">
        <f>vit_xz*COS(Beta)</f>
        <v>0</v>
      </c>
      <c r="H4" s="293">
        <f>vit_xz*SIN(Beta)</f>
        <v>0</v>
      </c>
      <c r="I4" s="349">
        <f>V_ini</f>
        <v>0</v>
      </c>
      <c r="J4" s="350">
        <f>X_ini</f>
        <v>0</v>
      </c>
      <c r="K4" s="351">
        <f>Z_ini</f>
        <v>0</v>
      </c>
      <c r="L4" s="327">
        <f t="shared" ref="L4:L67" si="0">SQRT(pos_x^2+pos_z^2)</f>
        <v>0</v>
      </c>
      <c r="M4" s="292">
        <f>RADIANS(N4)</f>
        <v>1.4835298641951802</v>
      </c>
      <c r="N4" s="349">
        <f>Beta_rampe</f>
        <v>85</v>
      </c>
      <c r="P4" s="292" t="s">
        <v>14</v>
      </c>
      <c r="Q4" s="294" t="s">
        <v>14</v>
      </c>
      <c r="R4" s="292" t="s">
        <v>14</v>
      </c>
      <c r="S4" s="351">
        <f ca="1">m_tot</f>
        <v>8.5150000000000006</v>
      </c>
      <c r="T4" s="327">
        <f t="shared" ref="T4:T67" ca="1" si="1">m*g</f>
        <v>83.532150000000016</v>
      </c>
      <c r="U4" s="328">
        <f t="shared" ref="U4:U67" ca="1" si="2">IF(pos_xz&lt;L_rampe,Poids*COS(Beta),0)</f>
        <v>7.2803065765587931</v>
      </c>
      <c r="V4" s="329">
        <f t="shared" ref="V4:V67" si="3">Rho_moyen*(20000-Alt_rampe-pos_z)/(20000+Alt_rampe+pos_z)</f>
        <v>1.2250000000000001</v>
      </c>
      <c r="W4" s="327">
        <f t="shared" ref="W4:W67" si="4">1/2*Rho*Sref*Cx*vit_xz^2</f>
        <v>0</v>
      </c>
      <c r="Y4" s="295" t="s">
        <v>14</v>
      </c>
      <c r="Z4" s="296" t="s">
        <v>14</v>
      </c>
      <c r="AA4" s="297" t="s">
        <v>14</v>
      </c>
      <c r="AC4" s="320">
        <f>IF(ABS(t-ROUND(t,0))&lt;0.001,t,-1)</f>
        <v>0</v>
      </c>
      <c r="AD4" s="321">
        <f>IF(ABS(t-ROUND(t,0))&lt;0.001,pos_x,-1)</f>
        <v>0</v>
      </c>
      <c r="AE4" s="322">
        <f t="shared" ref="AE4:AE67" si="5">IF(t&lt;T_para, pos_z, NA())</f>
        <v>0</v>
      </c>
      <c r="AG4" s="292" t="s">
        <v>14</v>
      </c>
      <c r="AH4" s="294" t="s">
        <v>14</v>
      </c>
    </row>
    <row r="5" spans="1:248" x14ac:dyDescent="0.2">
      <c r="A5" s="347">
        <f t="shared" ref="A5:A68" ca="1" si="6">IF(B4+0.01&lt;=T_ini+ROUNDUP(Temps_fin_propu,0), 0.01, IF(K4&gt;0, 0.1, 0.0001))</f>
        <v>0.01</v>
      </c>
      <c r="B5" s="304">
        <f t="shared" ref="B5:B68" ca="1" si="7">B4+pas</f>
        <v>0.01</v>
      </c>
      <c r="D5" s="306">
        <f t="shared" ref="D5:D68" ca="1" si="8">IF(AND(L4&lt;L_rampe,Poussee&lt;Poids*SIN(M4)),0,(-W4+Poussee)/m*COS(M4)-U4/m*SIN(M4))</f>
        <v>6.2293943941727825E-2</v>
      </c>
      <c r="E5" s="307">
        <f t="shared" ref="E5:E68" ca="1" si="9">IF(AND(L4&lt;L_rampe,Poussee&lt;Poids*SIN(M4)),0,(-W4+Poussee)/m*SIN(M4)+U4/m*COS(M4)-Poids/m)</f>
        <v>0.7125393771371602</v>
      </c>
      <c r="F5" s="304">
        <f t="shared" ref="F5:F68" ca="1" si="10">SQRT(acc_x^2+acc_z^2)</f>
        <v>0.71525722605425479</v>
      </c>
      <c r="G5" s="306">
        <f t="shared" ref="G5:G68" ca="1" si="11">G4+acc_x*pas</f>
        <v>6.2293943941727826E-4</v>
      </c>
      <c r="H5" s="307">
        <f t="shared" ref="H5:H68" ca="1" si="12">H4+acc_z*pas</f>
        <v>7.1253937713716018E-3</v>
      </c>
      <c r="I5" s="304">
        <f t="shared" ref="I5:I68" ca="1" si="13">SQRT(vit_x^2+vit_z^2)</f>
        <v>7.1525722605425479E-3</v>
      </c>
      <c r="J5" s="306">
        <f t="shared" ref="J5:J68" ca="1" si="14">J4+0.5*(vit_x+G4)*pas*(K4&gt;=0)</f>
        <v>3.1146971970863913E-6</v>
      </c>
      <c r="K5" s="307">
        <f t="shared" ref="K5:K68" ca="1" si="15">K4+0.5*(vit_z+H4)*pas</f>
        <v>3.562696885685801E-5</v>
      </c>
      <c r="L5" s="304">
        <f t="shared" ca="1" si="0"/>
        <v>3.5762861302712739E-5</v>
      </c>
      <c r="M5" s="306">
        <f t="shared" ref="M5:M68" ca="1" si="16">IF(AND(L4&gt;L_rampe,G5&gt;0),ATAN2(G5,H5),$M$4)</f>
        <v>1.4835298641951802</v>
      </c>
      <c r="N5" s="304">
        <f t="shared" ref="N5:N68" ca="1" si="17">DEGREES(Beta)</f>
        <v>85</v>
      </c>
      <c r="P5" s="310">
        <f t="shared" ref="P5:P68" ca="1" si="18">MATCH(t-pas/2-T_ini,CdP_t)</f>
        <v>1</v>
      </c>
      <c r="Q5" s="304">
        <f t="shared" ref="Q5:Q68" ca="1" si="19">(INDEX(CdP,2,i_P+1)-INDEX(CdP,2,i_P+0))/(INDEX(CdP,1,i_P+1)-INDEX(CdP,1,i_P+0))*(t-pas/2-T_ini-INDEX(CdP,1,i_P+0))+INDEX(CdP,2,i_P+0)</f>
        <v>89.3</v>
      </c>
      <c r="R5" s="306">
        <f t="shared" ref="R5:R68" ca="1" si="20">Poussee/(g*ISP)</f>
        <v>4.4815509359347437E-2</v>
      </c>
      <c r="S5" s="307">
        <f t="shared" ref="S5:S68" ca="1" si="21">S4-Débit*pas</f>
        <v>8.514551844906407</v>
      </c>
      <c r="T5" s="304">
        <f t="shared" ca="1" si="1"/>
        <v>83.527753598531859</v>
      </c>
      <c r="U5" s="311">
        <f t="shared" ca="1" si="2"/>
        <v>7.2799234049234194</v>
      </c>
      <c r="V5" s="306">
        <f t="shared" ca="1" si="3"/>
        <v>1.2249999956356963</v>
      </c>
      <c r="W5" s="304">
        <f t="shared" ca="1" si="4"/>
        <v>1.6568206500881545E-7</v>
      </c>
      <c r="Y5" s="314" t="str">
        <f t="shared" ref="Y5:Y68" ca="1" si="22">IF(AND(pos_z&lt;=0,K4&gt;0),"Impact balistique","") &amp; IF(AND(H6&lt;0,vit_z&gt;=0),"Apogée","") &amp; IF(AND(Poussee=0,Q4&gt;0),"Fin de propulsion","") &amp; IF(AND(L6&gt;L_rampe,pos_xz&lt;=L_rampe),"Sortie de rampe","")</f>
        <v/>
      </c>
      <c r="Z5" s="315" t="str">
        <f t="shared" ref="Z5:Z68" ca="1" si="23">IF(ABS(t-T_para)&lt;pas/2,"Para","")</f>
        <v/>
      </c>
      <c r="AA5" s="316" t="str">
        <f t="shared" ref="AA5:AA68" ca="1" si="24">IF(ABS(t-T_satellite)&lt;pas/2,"Satellite","")</f>
        <v/>
      </c>
      <c r="AC5" s="310" t="e">
        <f t="shared" ref="AC5:AC68" ca="1" si="25">IF(ABS(t-ROUND(t,0))&lt;0.001,t,NA())</f>
        <v>#N/A</v>
      </c>
      <c r="AD5" s="323" t="e">
        <f t="shared" ref="AD5:AD68" ca="1" si="26">IF(ABS(t-ROUND(t,0))&lt;0.001,pos_x,NA())</f>
        <v>#N/A</v>
      </c>
      <c r="AE5" s="324">
        <f t="shared" ca="1" si="5"/>
        <v>3.562696885685801E-5</v>
      </c>
      <c r="AG5" s="306">
        <f t="shared" ref="AG5:AG68" ca="1" si="27">IF(AND(L4&lt;L_rampe,Poussee&lt;Poids*SIN(M4)),0,(-W4+Poussee)/m-Poids*SIN(M4)/m)</f>
        <v>0.71525722463855601</v>
      </c>
      <c r="AH5" s="304">
        <f t="shared" ref="AH5:AH68" ca="1" si="28">IF(AND(L4&lt;L_rampe,Poussee&lt;Poids*SIN(M4)), g*SIN(M4), (-W4+Poussee)/m)</f>
        <v>10.48792721291858</v>
      </c>
    </row>
    <row r="6" spans="1:248" x14ac:dyDescent="0.2">
      <c r="A6" s="347">
        <f t="shared" ca="1" si="6"/>
        <v>0.01</v>
      </c>
      <c r="B6" s="304">
        <f t="shared" ca="1" si="7"/>
        <v>0.02</v>
      </c>
      <c r="D6" s="306">
        <f t="shared" ca="1" si="8"/>
        <v>1.8908035069934617</v>
      </c>
      <c r="E6" s="307">
        <f t="shared" ca="1" si="9"/>
        <v>21.613532243025581</v>
      </c>
      <c r="F6" s="304">
        <f t="shared" ca="1" si="10"/>
        <v>21.696080611999147</v>
      </c>
      <c r="G6" s="306">
        <f t="shared" ca="1" si="11"/>
        <v>1.9530974509351897E-2</v>
      </c>
      <c r="H6" s="307">
        <f t="shared" ca="1" si="12"/>
        <v>0.22326071620162743</v>
      </c>
      <c r="I6" s="304">
        <f t="shared" ca="1" si="13"/>
        <v>0.22411337836940609</v>
      </c>
      <c r="J6" s="306">
        <f t="shared" ca="1" si="14"/>
        <v>1.0388426694093229E-4</v>
      </c>
      <c r="K6" s="307">
        <f t="shared" ca="1" si="15"/>
        <v>1.1875575187218533E-3</v>
      </c>
      <c r="L6" s="304">
        <f t="shared" ca="1" si="0"/>
        <v>1.1920926143511919E-3</v>
      </c>
      <c r="M6" s="306">
        <f t="shared" ca="1" si="16"/>
        <v>1.4835298641951802</v>
      </c>
      <c r="N6" s="304">
        <f t="shared" ca="1" si="17"/>
        <v>85</v>
      </c>
      <c r="P6" s="310">
        <f t="shared" ca="1" si="18"/>
        <v>1</v>
      </c>
      <c r="Q6" s="304">
        <f t="shared" ca="1" si="19"/>
        <v>267.89999999999998</v>
      </c>
      <c r="R6" s="306">
        <f t="shared" ca="1" si="20"/>
        <v>0.1344465280780423</v>
      </c>
      <c r="S6" s="307">
        <f t="shared" ca="1" si="21"/>
        <v>8.5132073796256265</v>
      </c>
      <c r="T6" s="304">
        <f t="shared" ca="1" si="1"/>
        <v>83.514564394127405</v>
      </c>
      <c r="U6" s="311">
        <f t="shared" ca="1" si="2"/>
        <v>7.2787738900172982</v>
      </c>
      <c r="V6" s="306">
        <f t="shared" ca="1" si="3"/>
        <v>1.2249998545242127</v>
      </c>
      <c r="W6" s="304">
        <f t="shared" ca="1" si="4"/>
        <v>1.6266214890782622E-4</v>
      </c>
      <c r="Y6" s="314" t="str">
        <f t="shared" ca="1" si="22"/>
        <v/>
      </c>
      <c r="Z6" s="315" t="str">
        <f t="shared" ca="1" si="23"/>
        <v/>
      </c>
      <c r="AA6" s="316" t="str">
        <f t="shared" ca="1" si="24"/>
        <v/>
      </c>
      <c r="AC6" s="310" t="e">
        <f t="shared" ca="1" si="25"/>
        <v>#N/A</v>
      </c>
      <c r="AD6" s="323" t="e">
        <f t="shared" ca="1" si="26"/>
        <v>#N/A</v>
      </c>
      <c r="AE6" s="324">
        <f t="shared" ca="1" si="5"/>
        <v>1.1875575187218533E-3</v>
      </c>
      <c r="AG6" s="306">
        <f t="shared" ca="1" si="27"/>
        <v>21.696080611578964</v>
      </c>
      <c r="AH6" s="304">
        <f t="shared" ca="1" si="28"/>
        <v>31.468750599858989</v>
      </c>
    </row>
    <row r="7" spans="1:248" x14ac:dyDescent="0.2">
      <c r="A7" s="347">
        <f t="shared" ca="1" si="6"/>
        <v>0.01</v>
      </c>
      <c r="B7" s="304">
        <f t="shared" ca="1" si="7"/>
        <v>0.03</v>
      </c>
      <c r="D7" s="306">
        <f t="shared" ca="1" si="8"/>
        <v>3.7203704907709376</v>
      </c>
      <c r="E7" s="307">
        <f t="shared" ca="1" si="9"/>
        <v>42.526612081390724</v>
      </c>
      <c r="F7" s="304">
        <f t="shared" ca="1" si="10"/>
        <v>42.689037137298925</v>
      </c>
      <c r="G7" s="306">
        <f t="shared" ca="1" si="11"/>
        <v>5.6734679417061271E-2</v>
      </c>
      <c r="H7" s="307">
        <f t="shared" ca="1" si="12"/>
        <v>0.64852683701553471</v>
      </c>
      <c r="I7" s="304">
        <f t="shared" ca="1" si="13"/>
        <v>0.65100374974183572</v>
      </c>
      <c r="J7" s="306">
        <f t="shared" ca="1" si="14"/>
        <v>4.8521253657299817E-4</v>
      </c>
      <c r="K7" s="307">
        <f t="shared" ca="1" si="15"/>
        <v>5.5464952848076647E-3</v>
      </c>
      <c r="L7" s="304">
        <f t="shared" ca="1" si="0"/>
        <v>5.5676782548959546E-3</v>
      </c>
      <c r="M7" s="306">
        <f t="shared" ca="1" si="16"/>
        <v>1.4835298641951802</v>
      </c>
      <c r="N7" s="304">
        <f t="shared" ca="1" si="17"/>
        <v>85</v>
      </c>
      <c r="P7" s="310">
        <f t="shared" ca="1" si="18"/>
        <v>1</v>
      </c>
      <c r="Q7" s="304">
        <f t="shared" ca="1" si="19"/>
        <v>446.49999999999994</v>
      </c>
      <c r="R7" s="306">
        <f t="shared" ca="1" si="20"/>
        <v>0.22407754679673716</v>
      </c>
      <c r="S7" s="307">
        <f t="shared" ca="1" si="21"/>
        <v>8.5109666041576588</v>
      </c>
      <c r="T7" s="304">
        <f t="shared" ca="1" si="1"/>
        <v>83.492582386786637</v>
      </c>
      <c r="U7" s="311">
        <f t="shared" ca="1" si="2"/>
        <v>7.2768580318404288</v>
      </c>
      <c r="V7" s="306">
        <f t="shared" ca="1" si="3"/>
        <v>1.224999320554516</v>
      </c>
      <c r="W7" s="304">
        <f t="shared" ca="1" si="4"/>
        <v>1.372516997512441E-3</v>
      </c>
      <c r="Y7" s="314" t="str">
        <f t="shared" ca="1" si="22"/>
        <v/>
      </c>
      <c r="Z7" s="315" t="str">
        <f t="shared" ca="1" si="23"/>
        <v/>
      </c>
      <c r="AA7" s="316" t="str">
        <f t="shared" ca="1" si="24"/>
        <v/>
      </c>
      <c r="AC7" s="310" t="e">
        <f t="shared" ca="1" si="25"/>
        <v>#N/A</v>
      </c>
      <c r="AD7" s="323" t="e">
        <f t="shared" ca="1" si="26"/>
        <v>#N/A</v>
      </c>
      <c r="AE7" s="324">
        <f t="shared" ca="1" si="5"/>
        <v>5.5464952848076647E-3</v>
      </c>
      <c r="AG7" s="306">
        <f t="shared" ca="1" si="27"/>
        <v>42.689037136705423</v>
      </c>
      <c r="AH7" s="304">
        <f t="shared" ca="1" si="28"/>
        <v>52.461707124985445</v>
      </c>
    </row>
    <row r="8" spans="1:248" x14ac:dyDescent="0.2">
      <c r="A8" s="347">
        <f t="shared" ca="1" si="6"/>
        <v>0.01</v>
      </c>
      <c r="B8" s="304">
        <f t="shared" ca="1" si="7"/>
        <v>0.04</v>
      </c>
      <c r="D8" s="306">
        <f t="shared" ca="1" si="8"/>
        <v>5.5515649057164493</v>
      </c>
      <c r="E8" s="307">
        <f t="shared" ca="1" si="9"/>
        <v>63.458294468522382</v>
      </c>
      <c r="F8" s="304">
        <f t="shared" ca="1" si="10"/>
        <v>63.700667263036429</v>
      </c>
      <c r="G8" s="306">
        <f t="shared" ca="1" si="11"/>
        <v>0.11225032847422577</v>
      </c>
      <c r="H8" s="307">
        <f t="shared" ca="1" si="12"/>
        <v>1.2831097817007584</v>
      </c>
      <c r="I8" s="304">
        <f t="shared" ca="1" si="13"/>
        <v>1.2880104223719386</v>
      </c>
      <c r="J8" s="306">
        <f t="shared" ca="1" si="14"/>
        <v>1.3301375760294335E-3</v>
      </c>
      <c r="K8" s="307">
        <f t="shared" ca="1" si="15"/>
        <v>1.5204678378389128E-2</v>
      </c>
      <c r="L8" s="304">
        <f t="shared" ca="1" si="0"/>
        <v>1.5262749115458175E-2</v>
      </c>
      <c r="M8" s="306">
        <f t="shared" ca="1" si="16"/>
        <v>1.4835298641951802</v>
      </c>
      <c r="N8" s="304">
        <f t="shared" ca="1" si="17"/>
        <v>85</v>
      </c>
      <c r="P8" s="310">
        <f t="shared" ca="1" si="18"/>
        <v>1</v>
      </c>
      <c r="Q8" s="304">
        <f t="shared" ca="1" si="19"/>
        <v>625.1</v>
      </c>
      <c r="R8" s="306">
        <f t="shared" ca="1" si="20"/>
        <v>0.31370856551543208</v>
      </c>
      <c r="S8" s="307">
        <f t="shared" ca="1" si="21"/>
        <v>8.5078295185025041</v>
      </c>
      <c r="T8" s="304">
        <f t="shared" ca="1" si="1"/>
        <v>83.461807576509571</v>
      </c>
      <c r="U8" s="311">
        <f t="shared" ca="1" si="2"/>
        <v>7.2741758303928128</v>
      </c>
      <c r="V8" s="306">
        <f t="shared" ca="1" si="3"/>
        <v>1.224998137428315</v>
      </c>
      <c r="W8" s="304">
        <f t="shared" ca="1" si="4"/>
        <v>5.3726566432081811E-3</v>
      </c>
      <c r="Y8" s="314" t="str">
        <f t="shared" ca="1" si="22"/>
        <v/>
      </c>
      <c r="Z8" s="315" t="str">
        <f t="shared" ca="1" si="23"/>
        <v/>
      </c>
      <c r="AA8" s="316" t="str">
        <f t="shared" ca="1" si="24"/>
        <v/>
      </c>
      <c r="AC8" s="310" t="e">
        <f t="shared" ca="1" si="25"/>
        <v>#N/A</v>
      </c>
      <c r="AD8" s="323" t="e">
        <f t="shared" ca="1" si="26"/>
        <v>#N/A</v>
      </c>
      <c r="AE8" s="324">
        <f t="shared" ca="1" si="5"/>
        <v>1.5204678378389128E-2</v>
      </c>
      <c r="AG8" s="306">
        <f t="shared" ca="1" si="27"/>
        <v>63.700667262256296</v>
      </c>
      <c r="AH8" s="304">
        <f t="shared" ca="1" si="28"/>
        <v>73.473337250536318</v>
      </c>
    </row>
    <row r="9" spans="1:248" x14ac:dyDescent="0.2">
      <c r="A9" s="347">
        <f t="shared" ca="1" si="6"/>
        <v>0.01</v>
      </c>
      <c r="B9" s="304">
        <f t="shared" ca="1" si="7"/>
        <v>0.05</v>
      </c>
      <c r="D9" s="306">
        <f t="shared" ca="1" si="8"/>
        <v>7.384949719789728</v>
      </c>
      <c r="E9" s="307">
        <f t="shared" ca="1" si="9"/>
        <v>84.415014485765269</v>
      </c>
      <c r="F9" s="304">
        <f t="shared" ca="1" si="10"/>
        <v>84.737430649010022</v>
      </c>
      <c r="G9" s="306">
        <f t="shared" ca="1" si="11"/>
        <v>0.18609982567212305</v>
      </c>
      <c r="H9" s="307">
        <f t="shared" ca="1" si="12"/>
        <v>2.1272599265584109</v>
      </c>
      <c r="I9" s="304">
        <f t="shared" ca="1" si="13"/>
        <v>2.1353847288618719</v>
      </c>
      <c r="J9" s="306">
        <f t="shared" ca="1" si="14"/>
        <v>2.8218883467611778E-3</v>
      </c>
      <c r="K9" s="307">
        <f t="shared" ca="1" si="15"/>
        <v>3.2256526919684975E-2</v>
      </c>
      <c r="L9" s="304">
        <f t="shared" ca="1" si="0"/>
        <v>3.2379724871622183E-2</v>
      </c>
      <c r="M9" s="306">
        <f t="shared" ca="1" si="16"/>
        <v>1.4835298641951802</v>
      </c>
      <c r="N9" s="304">
        <f t="shared" ca="1" si="17"/>
        <v>85</v>
      </c>
      <c r="P9" s="310">
        <f t="shared" ca="1" si="18"/>
        <v>1</v>
      </c>
      <c r="Q9" s="304">
        <f t="shared" ca="1" si="19"/>
        <v>803.7</v>
      </c>
      <c r="R9" s="306">
        <f t="shared" ca="1" si="20"/>
        <v>0.40333958423412697</v>
      </c>
      <c r="S9" s="307">
        <f t="shared" ca="1" si="21"/>
        <v>8.5037961226601624</v>
      </c>
      <c r="T9" s="304">
        <f t="shared" ca="1" si="1"/>
        <v>83.422239963296192</v>
      </c>
      <c r="U9" s="311">
        <f t="shared" ca="1" si="2"/>
        <v>7.2707272856744494</v>
      </c>
      <c r="V9" s="306">
        <f t="shared" ca="1" si="3"/>
        <v>1.2249960485818252</v>
      </c>
      <c r="W9" s="304">
        <f t="shared" ca="1" si="4"/>
        <v>1.4767325799752698E-2</v>
      </c>
      <c r="Y9" s="314" t="str">
        <f t="shared" ca="1" si="22"/>
        <v/>
      </c>
      <c r="Z9" s="315" t="str">
        <f t="shared" ca="1" si="23"/>
        <v/>
      </c>
      <c r="AA9" s="316" t="str">
        <f t="shared" ca="1" si="24"/>
        <v/>
      </c>
      <c r="AC9" s="310" t="e">
        <f t="shared" ca="1" si="25"/>
        <v>#N/A</v>
      </c>
      <c r="AD9" s="323" t="e">
        <f t="shared" ca="1" si="26"/>
        <v>#N/A</v>
      </c>
      <c r="AE9" s="324">
        <f t="shared" ca="1" si="5"/>
        <v>3.2256526919684975E-2</v>
      </c>
      <c r="AG9" s="306">
        <f t="shared" ca="1" si="27"/>
        <v>84.737430648039634</v>
      </c>
      <c r="AH9" s="304">
        <f t="shared" ca="1" si="28"/>
        <v>94.510100636319663</v>
      </c>
    </row>
    <row r="10" spans="1:248" x14ac:dyDescent="0.2">
      <c r="A10" s="347">
        <f t="shared" ca="1" si="6"/>
        <v>0.01</v>
      </c>
      <c r="B10" s="304">
        <f t="shared" ca="1" si="7"/>
        <v>6.0000000000000005E-2</v>
      </c>
      <c r="D10" s="306">
        <f t="shared" ca="1" si="8"/>
        <v>8.2940440647803442</v>
      </c>
      <c r="E10" s="307">
        <f t="shared" ca="1" si="9"/>
        <v>94.806523998515175</v>
      </c>
      <c r="F10" s="304">
        <f t="shared" ca="1" si="10"/>
        <v>95.168630123741679</v>
      </c>
      <c r="G10" s="306">
        <f t="shared" ca="1" si="11"/>
        <v>0.2690402663199265</v>
      </c>
      <c r="H10" s="307">
        <f t="shared" ca="1" si="12"/>
        <v>3.0753251665435628</v>
      </c>
      <c r="I10" s="304">
        <f t="shared" ca="1" si="13"/>
        <v>3.0870710300991924</v>
      </c>
      <c r="J10" s="306">
        <f t="shared" ca="1" si="14"/>
        <v>5.0975888067214259E-3</v>
      </c>
      <c r="K10" s="307">
        <f t="shared" ca="1" si="15"/>
        <v>5.8269452385194841E-2</v>
      </c>
      <c r="L10" s="304">
        <f t="shared" ca="1" si="0"/>
        <v>5.84920036664235E-2</v>
      </c>
      <c r="M10" s="306">
        <f t="shared" ca="1" si="16"/>
        <v>1.4835298641951802</v>
      </c>
      <c r="N10" s="304">
        <f t="shared" ca="1" si="17"/>
        <v>85</v>
      </c>
      <c r="P10" s="310">
        <f t="shared" ca="1" si="18"/>
        <v>2</v>
      </c>
      <c r="Q10" s="304">
        <f t="shared" ca="1" si="19"/>
        <v>891.94444444444446</v>
      </c>
      <c r="R10" s="306">
        <f t="shared" ca="1" si="20"/>
        <v>0.44762535944029064</v>
      </c>
      <c r="S10" s="307">
        <f t="shared" ca="1" si="21"/>
        <v>8.4993198690657596</v>
      </c>
      <c r="T10" s="304">
        <f t="shared" ca="1" si="1"/>
        <v>83.37832791553511</v>
      </c>
      <c r="U10" s="311">
        <f t="shared" ca="1" si="2"/>
        <v>7.2669000985362615</v>
      </c>
      <c r="V10" s="306">
        <f t="shared" ca="1" si="3"/>
        <v>1.2249928620128794</v>
      </c>
      <c r="W10" s="304">
        <f t="shared" ca="1" si="4"/>
        <v>3.0863253507924678E-2</v>
      </c>
      <c r="Y10" s="314" t="str">
        <f t="shared" ca="1" si="22"/>
        <v/>
      </c>
      <c r="Z10" s="315" t="str">
        <f t="shared" ca="1" si="23"/>
        <v/>
      </c>
      <c r="AA10" s="316" t="str">
        <f t="shared" ca="1" si="24"/>
        <v/>
      </c>
      <c r="AC10" s="310" t="e">
        <f t="shared" ca="1" si="25"/>
        <v>#N/A</v>
      </c>
      <c r="AD10" s="323" t="e">
        <f t="shared" ca="1" si="26"/>
        <v>#N/A</v>
      </c>
      <c r="AE10" s="324">
        <f t="shared" ca="1" si="5"/>
        <v>5.8269452385194841E-2</v>
      </c>
      <c r="AG10" s="306">
        <f t="shared" ca="1" si="27"/>
        <v>95.16863012267639</v>
      </c>
      <c r="AH10" s="304">
        <f t="shared" ca="1" si="28"/>
        <v>104.94130011095642</v>
      </c>
    </row>
    <row r="11" spans="1:248" x14ac:dyDescent="0.2">
      <c r="A11" s="347">
        <f t="shared" ca="1" si="6"/>
        <v>0.01</v>
      </c>
      <c r="B11" s="304">
        <f t="shared" ca="1" si="7"/>
        <v>7.0000000000000007E-2</v>
      </c>
      <c r="D11" s="306">
        <f t="shared" ca="1" si="8"/>
        <v>8.2770281972273771</v>
      </c>
      <c r="E11" s="307">
        <f t="shared" ca="1" si="9"/>
        <v>94.61202222348642</v>
      </c>
      <c r="F11" s="304">
        <f t="shared" ca="1" si="10"/>
        <v>94.973385456111771</v>
      </c>
      <c r="G11" s="306">
        <f t="shared" ca="1" si="11"/>
        <v>0.35181054829220026</v>
      </c>
      <c r="H11" s="307">
        <f t="shared" ca="1" si="12"/>
        <v>4.0214453887784272</v>
      </c>
      <c r="I11" s="304">
        <f t="shared" ca="1" si="13"/>
        <v>4.0368048846602598</v>
      </c>
      <c r="J11" s="306">
        <f t="shared" ca="1" si="14"/>
        <v>8.2018428797820606E-3</v>
      </c>
      <c r="K11" s="307">
        <f t="shared" ca="1" si="15"/>
        <v>9.3753305161804801E-2</v>
      </c>
      <c r="L11" s="304">
        <f t="shared" ca="1" si="0"/>
        <v>9.4111383240217686E-2</v>
      </c>
      <c r="M11" s="306">
        <f t="shared" ca="1" si="16"/>
        <v>1.4835298641951802</v>
      </c>
      <c r="N11" s="304">
        <f t="shared" ca="1" si="17"/>
        <v>85</v>
      </c>
      <c r="P11" s="310">
        <f t="shared" ca="1" si="18"/>
        <v>2</v>
      </c>
      <c r="Q11" s="304">
        <f t="shared" ca="1" si="19"/>
        <v>889.83333333333337</v>
      </c>
      <c r="R11" s="306">
        <f t="shared" ca="1" si="20"/>
        <v>0.44656589113392309</v>
      </c>
      <c r="S11" s="307">
        <f t="shared" ca="1" si="21"/>
        <v>8.4948542101544202</v>
      </c>
      <c r="T11" s="304">
        <f t="shared" ca="1" si="1"/>
        <v>83.33451980161486</v>
      </c>
      <c r="U11" s="311">
        <f t="shared" ca="1" si="2"/>
        <v>7.2630819698291678</v>
      </c>
      <c r="V11" s="306">
        <f t="shared" ca="1" si="3"/>
        <v>1.2249885152739544</v>
      </c>
      <c r="W11" s="304">
        <f t="shared" ca="1" si="4"/>
        <v>5.2774294707115907E-2</v>
      </c>
      <c r="Y11" s="314" t="str">
        <f t="shared" ca="1" si="22"/>
        <v/>
      </c>
      <c r="Z11" s="315" t="str">
        <f t="shared" ca="1" si="23"/>
        <v/>
      </c>
      <c r="AA11" s="316" t="str">
        <f t="shared" ca="1" si="24"/>
        <v/>
      </c>
      <c r="AC11" s="310" t="e">
        <f t="shared" ca="1" si="25"/>
        <v>#N/A</v>
      </c>
      <c r="AD11" s="323" t="e">
        <f t="shared" ca="1" si="26"/>
        <v>#N/A</v>
      </c>
      <c r="AE11" s="324">
        <f t="shared" ca="1" si="5"/>
        <v>9.3753305161804801E-2</v>
      </c>
      <c r="AG11" s="306">
        <f t="shared" ca="1" si="27"/>
        <v>94.973385455048231</v>
      </c>
      <c r="AH11" s="304">
        <f t="shared" ca="1" si="28"/>
        <v>104.74605544332826</v>
      </c>
    </row>
    <row r="12" spans="1:248" x14ac:dyDescent="0.2">
      <c r="A12" s="347">
        <f t="shared" ca="1" si="6"/>
        <v>0.01</v>
      </c>
      <c r="B12" s="304">
        <f t="shared" ca="1" si="7"/>
        <v>0.08</v>
      </c>
      <c r="D12" s="306">
        <f t="shared" ca="1" si="8"/>
        <v>8.2599233667390539</v>
      </c>
      <c r="E12" s="307">
        <f t="shared" ca="1" si="9"/>
        <v>94.416503581016997</v>
      </c>
      <c r="F12" s="304">
        <f t="shared" ca="1" si="10"/>
        <v>94.77712003689814</v>
      </c>
      <c r="G12" s="306">
        <f t="shared" ca="1" si="11"/>
        <v>0.43440978195959079</v>
      </c>
      <c r="H12" s="307">
        <f t="shared" ca="1" si="12"/>
        <v>4.965610424588597</v>
      </c>
      <c r="I12" s="304">
        <f t="shared" ca="1" si="13"/>
        <v>4.98457608502921</v>
      </c>
      <c r="J12" s="306">
        <f t="shared" ca="1" si="14"/>
        <v>1.2132944531041016E-2</v>
      </c>
      <c r="K12" s="307">
        <f t="shared" ca="1" si="15"/>
        <v>0.13868858422863994</v>
      </c>
      <c r="L12" s="304">
        <f t="shared" ca="1" si="0"/>
        <v>0.13921828808866266</v>
      </c>
      <c r="M12" s="306">
        <f t="shared" ca="1" si="16"/>
        <v>1.4835298641951802</v>
      </c>
      <c r="N12" s="304">
        <f t="shared" ca="1" si="17"/>
        <v>85</v>
      </c>
      <c r="P12" s="310">
        <f t="shared" ca="1" si="18"/>
        <v>2</v>
      </c>
      <c r="Q12" s="304">
        <f t="shared" ca="1" si="19"/>
        <v>887.72222222222217</v>
      </c>
      <c r="R12" s="306">
        <f t="shared" ca="1" si="20"/>
        <v>0.44550642282755548</v>
      </c>
      <c r="S12" s="307">
        <f t="shared" ca="1" si="21"/>
        <v>8.4903991459261441</v>
      </c>
      <c r="T12" s="304">
        <f t="shared" ca="1" si="1"/>
        <v>83.290815621535472</v>
      </c>
      <c r="U12" s="311">
        <f t="shared" ca="1" si="2"/>
        <v>7.2592728995531717</v>
      </c>
      <c r="V12" s="306">
        <f t="shared" ca="1" si="3"/>
        <v>1.2249830107662427</v>
      </c>
      <c r="W12" s="304">
        <f t="shared" ca="1" si="4"/>
        <v>8.0463964760432216E-2</v>
      </c>
      <c r="Y12" s="314" t="str">
        <f t="shared" ca="1" si="22"/>
        <v/>
      </c>
      <c r="Z12" s="315" t="str">
        <f t="shared" ca="1" si="23"/>
        <v/>
      </c>
      <c r="AA12" s="316" t="str">
        <f t="shared" ca="1" si="24"/>
        <v/>
      </c>
      <c r="AC12" s="310" t="e">
        <f t="shared" ca="1" si="25"/>
        <v>#N/A</v>
      </c>
      <c r="AD12" s="323" t="e">
        <f t="shared" ca="1" si="26"/>
        <v>#N/A</v>
      </c>
      <c r="AE12" s="324">
        <f t="shared" ca="1" si="5"/>
        <v>0.13868858422863994</v>
      </c>
      <c r="AG12" s="306">
        <f t="shared" ca="1" si="27"/>
        <v>94.777120035836319</v>
      </c>
      <c r="AH12" s="304">
        <f t="shared" ca="1" si="28"/>
        <v>104.54979002411635</v>
      </c>
    </row>
    <row r="13" spans="1:248" x14ac:dyDescent="0.2">
      <c r="A13" s="347">
        <f t="shared" ca="1" si="6"/>
        <v>0.01</v>
      </c>
      <c r="B13" s="304">
        <f t="shared" ca="1" si="7"/>
        <v>0.09</v>
      </c>
      <c r="D13" s="306">
        <f t="shared" ca="1" si="8"/>
        <v>8.2427298719853184</v>
      </c>
      <c r="E13" s="307">
        <f t="shared" ca="1" si="9"/>
        <v>94.219971484929829</v>
      </c>
      <c r="F13" s="304">
        <f t="shared" ca="1" si="10"/>
        <v>94.579837292963816</v>
      </c>
      <c r="G13" s="306">
        <f t="shared" ca="1" si="11"/>
        <v>0.51683708067944401</v>
      </c>
      <c r="H13" s="307">
        <f t="shared" ca="1" si="12"/>
        <v>5.9078101394378955</v>
      </c>
      <c r="I13" s="304">
        <f t="shared" ca="1" si="13"/>
        <v>5.9303744579588278</v>
      </c>
      <c r="J13" s="306">
        <f t="shared" ca="1" si="14"/>
        <v>1.6889178844236193E-2</v>
      </c>
      <c r="K13" s="307">
        <f t="shared" ca="1" si="15"/>
        <v>0.19305568704877241</v>
      </c>
      <c r="L13" s="304">
        <f t="shared" ca="1" si="0"/>
        <v>0.19379304080360096</v>
      </c>
      <c r="M13" s="306">
        <f t="shared" ca="1" si="16"/>
        <v>1.4835298641951802</v>
      </c>
      <c r="N13" s="304">
        <f t="shared" ca="1" si="17"/>
        <v>85</v>
      </c>
      <c r="P13" s="310">
        <f t="shared" ca="1" si="18"/>
        <v>2</v>
      </c>
      <c r="Q13" s="304">
        <f t="shared" ca="1" si="19"/>
        <v>885.61111111111109</v>
      </c>
      <c r="R13" s="306">
        <f t="shared" ca="1" si="20"/>
        <v>0.44444695452118799</v>
      </c>
      <c r="S13" s="307">
        <f t="shared" ca="1" si="21"/>
        <v>8.485954676380933</v>
      </c>
      <c r="T13" s="304">
        <f t="shared" ca="1" si="1"/>
        <v>83.24721537529696</v>
      </c>
      <c r="U13" s="311">
        <f t="shared" ca="1" si="2"/>
        <v>7.2554728877082733</v>
      </c>
      <c r="V13" s="306">
        <f t="shared" ca="1" si="3"/>
        <v>1.2249763509066161</v>
      </c>
      <c r="W13" s="304">
        <f t="shared" ca="1" si="4"/>
        <v>0.11389557230325906</v>
      </c>
      <c r="Y13" s="314" t="str">
        <f t="shared" ca="1" si="22"/>
        <v/>
      </c>
      <c r="Z13" s="315" t="str">
        <f t="shared" ca="1" si="23"/>
        <v/>
      </c>
      <c r="AA13" s="316" t="str">
        <f t="shared" ca="1" si="24"/>
        <v/>
      </c>
      <c r="AC13" s="310" t="e">
        <f t="shared" ca="1" si="25"/>
        <v>#N/A</v>
      </c>
      <c r="AD13" s="323" t="e">
        <f t="shared" ca="1" si="26"/>
        <v>#N/A</v>
      </c>
      <c r="AE13" s="324">
        <f t="shared" ca="1" si="5"/>
        <v>0.19305568704877241</v>
      </c>
      <c r="AG13" s="306">
        <f t="shared" ca="1" si="27"/>
        <v>94.579837291903729</v>
      </c>
      <c r="AH13" s="304">
        <f t="shared" ca="1" si="28"/>
        <v>104.35250728018376</v>
      </c>
    </row>
    <row r="14" spans="1:248" x14ac:dyDescent="0.2">
      <c r="A14" s="347">
        <f t="shared" ca="1" si="6"/>
        <v>0.01</v>
      </c>
      <c r="B14" s="304">
        <f t="shared" ca="1" si="7"/>
        <v>9.9999999999999992E-2</v>
      </c>
      <c r="D14" s="306">
        <f t="shared" ca="1" si="8"/>
        <v>8.2254480150517502</v>
      </c>
      <c r="E14" s="307">
        <f t="shared" ca="1" si="9"/>
        <v>94.022429388088895</v>
      </c>
      <c r="F14" s="304">
        <f t="shared" ca="1" si="10"/>
        <v>94.381540690362129</v>
      </c>
      <c r="G14" s="306">
        <f t="shared" ca="1" si="11"/>
        <v>0.59909156082996151</v>
      </c>
      <c r="H14" s="307">
        <f t="shared" ca="1" si="12"/>
        <v>6.8480344333187846</v>
      </c>
      <c r="I14" s="304">
        <f t="shared" ca="1" si="13"/>
        <v>6.8741898648624336</v>
      </c>
      <c r="J14" s="306">
        <f t="shared" ca="1" si="14"/>
        <v>2.2468822051783219E-2</v>
      </c>
      <c r="K14" s="307">
        <f t="shared" ca="1" si="15"/>
        <v>0.25683490991255581</v>
      </c>
      <c r="L14" s="304">
        <f t="shared" ca="1" si="0"/>
        <v>0.25781586241770571</v>
      </c>
      <c r="M14" s="306">
        <f t="shared" ca="1" si="16"/>
        <v>1.4835298641951802</v>
      </c>
      <c r="N14" s="304">
        <f t="shared" ca="1" si="17"/>
        <v>85</v>
      </c>
      <c r="P14" s="310">
        <f t="shared" ca="1" si="18"/>
        <v>2</v>
      </c>
      <c r="Q14" s="304">
        <f t="shared" ca="1" si="19"/>
        <v>883.5</v>
      </c>
      <c r="R14" s="306">
        <f t="shared" ca="1" si="20"/>
        <v>0.44338748621482044</v>
      </c>
      <c r="S14" s="307">
        <f t="shared" ca="1" si="21"/>
        <v>8.4815208015187853</v>
      </c>
      <c r="T14" s="304">
        <f t="shared" ca="1" si="1"/>
        <v>83.203719062899282</v>
      </c>
      <c r="U14" s="311">
        <f t="shared" ca="1" si="2"/>
        <v>7.2516819342944689</v>
      </c>
      <c r="V14" s="306">
        <f t="shared" ca="1" si="3"/>
        <v>1.224968538127561</v>
      </c>
      <c r="W14" s="304">
        <f t="shared" ca="1" si="4"/>
        <v>0.1530322220733778</v>
      </c>
      <c r="Y14" s="314" t="str">
        <f t="shared" ca="1" si="22"/>
        <v/>
      </c>
      <c r="Z14" s="315" t="str">
        <f t="shared" ca="1" si="23"/>
        <v/>
      </c>
      <c r="AA14" s="316" t="str">
        <f t="shared" ca="1" si="24"/>
        <v/>
      </c>
      <c r="AC14" s="310" t="e">
        <f t="shared" ca="1" si="25"/>
        <v>#N/A</v>
      </c>
      <c r="AD14" s="323" t="e">
        <f t="shared" ca="1" si="26"/>
        <v>#N/A</v>
      </c>
      <c r="AE14" s="324">
        <f t="shared" ca="1" si="5"/>
        <v>0.25683490991255581</v>
      </c>
      <c r="AG14" s="306">
        <f t="shared" ca="1" si="27"/>
        <v>94.381540689303748</v>
      </c>
      <c r="AH14" s="304">
        <f t="shared" ca="1" si="28"/>
        <v>104.15421067758378</v>
      </c>
    </row>
    <row r="15" spans="1:248" x14ac:dyDescent="0.2">
      <c r="A15" s="347">
        <f t="shared" ca="1" si="6"/>
        <v>0.01</v>
      </c>
      <c r="B15" s="304">
        <f t="shared" ca="1" si="7"/>
        <v>0.10999999999999999</v>
      </c>
      <c r="D15" s="306">
        <f t="shared" ca="1" si="8"/>
        <v>8.2080781014156479</v>
      </c>
      <c r="E15" s="307">
        <f t="shared" ca="1" si="9"/>
        <v>93.823880782125741</v>
      </c>
      <c r="F15" s="304">
        <f t="shared" ca="1" si="10"/>
        <v>94.182233734061981</v>
      </c>
      <c r="G15" s="306">
        <f t="shared" ca="1" si="11"/>
        <v>0.68117234184411801</v>
      </c>
      <c r="H15" s="307">
        <f t="shared" ca="1" si="12"/>
        <v>7.7862732411400417</v>
      </c>
      <c r="I15" s="304">
        <f t="shared" ca="1" si="13"/>
        <v>7.8160122022030425</v>
      </c>
      <c r="J15" s="306">
        <f t="shared" ca="1" si="14"/>
        <v>2.8870141565153617E-2</v>
      </c>
      <c r="K15" s="307">
        <f t="shared" ca="1" si="15"/>
        <v>0.33000644828484993</v>
      </c>
      <c r="L15" s="304">
        <f t="shared" ca="1" si="0"/>
        <v>0.33126687275303179</v>
      </c>
      <c r="M15" s="306">
        <f t="shared" ca="1" si="16"/>
        <v>1.4835298641951802</v>
      </c>
      <c r="N15" s="304">
        <f t="shared" ca="1" si="17"/>
        <v>85</v>
      </c>
      <c r="P15" s="310">
        <f t="shared" ca="1" si="18"/>
        <v>2</v>
      </c>
      <c r="Q15" s="304">
        <f t="shared" ca="1" si="19"/>
        <v>881.38888888888891</v>
      </c>
      <c r="R15" s="306">
        <f t="shared" ca="1" si="20"/>
        <v>0.44232801790845289</v>
      </c>
      <c r="S15" s="307">
        <f t="shared" ca="1" si="21"/>
        <v>8.4770975213397008</v>
      </c>
      <c r="T15" s="304">
        <f t="shared" ca="1" si="1"/>
        <v>83.160326684342465</v>
      </c>
      <c r="U15" s="311">
        <f t="shared" ca="1" si="2"/>
        <v>7.2479000393117623</v>
      </c>
      <c r="V15" s="306">
        <f t="shared" ca="1" si="3"/>
        <v>1.2249595748771125</v>
      </c>
      <c r="W15" s="304">
        <f t="shared" ca="1" si="4"/>
        <v>0.19783681775740622</v>
      </c>
      <c r="Y15" s="314" t="str">
        <f t="shared" ca="1" si="22"/>
        <v/>
      </c>
      <c r="Z15" s="315" t="str">
        <f t="shared" ca="1" si="23"/>
        <v/>
      </c>
      <c r="AA15" s="316" t="str">
        <f t="shared" ca="1" si="24"/>
        <v/>
      </c>
      <c r="AC15" s="310" t="e">
        <f t="shared" ca="1" si="25"/>
        <v>#N/A</v>
      </c>
      <c r="AD15" s="323" t="e">
        <f t="shared" ca="1" si="26"/>
        <v>#N/A</v>
      </c>
      <c r="AE15" s="324">
        <f t="shared" ca="1" si="5"/>
        <v>0.33000644828484993</v>
      </c>
      <c r="AG15" s="306">
        <f t="shared" ca="1" si="27"/>
        <v>94.182233733005347</v>
      </c>
      <c r="AH15" s="304">
        <f t="shared" ca="1" si="28"/>
        <v>103.95490372128538</v>
      </c>
    </row>
    <row r="16" spans="1:248" x14ac:dyDescent="0.2">
      <c r="A16" s="347">
        <f t="shared" ca="1" si="6"/>
        <v>0.01</v>
      </c>
      <c r="B16" s="304">
        <f t="shared" ca="1" si="7"/>
        <v>0.11999999999999998</v>
      </c>
      <c r="D16" s="306">
        <f t="shared" ca="1" si="8"/>
        <v>8.1906204399217977</v>
      </c>
      <c r="E16" s="307">
        <f t="shared" ca="1" si="9"/>
        <v>93.624329197162737</v>
      </c>
      <c r="F16" s="304">
        <f t="shared" ca="1" si="10"/>
        <v>93.98191996767018</v>
      </c>
      <c r="G16" s="306">
        <f t="shared" ca="1" si="11"/>
        <v>0.76307854624333604</v>
      </c>
      <c r="H16" s="307">
        <f t="shared" ca="1" si="12"/>
        <v>8.7225165331116692</v>
      </c>
      <c r="I16" s="304">
        <f t="shared" ca="1" si="13"/>
        <v>8.7558314018797354</v>
      </c>
      <c r="J16" s="306">
        <f t="shared" ca="1" si="14"/>
        <v>3.6091396005590887E-2</v>
      </c>
      <c r="K16" s="307">
        <f t="shared" ca="1" si="15"/>
        <v>0.41255039715610847</v>
      </c>
      <c r="L16" s="304">
        <f t="shared" ca="1" si="0"/>
        <v>0.41412609077344453</v>
      </c>
      <c r="M16" s="306">
        <f t="shared" ca="1" si="16"/>
        <v>1.4835298641951802</v>
      </c>
      <c r="N16" s="304">
        <f t="shared" ca="1" si="17"/>
        <v>85</v>
      </c>
      <c r="P16" s="310">
        <f t="shared" ca="1" si="18"/>
        <v>2</v>
      </c>
      <c r="Q16" s="304">
        <f t="shared" ca="1" si="19"/>
        <v>879.27777777777783</v>
      </c>
      <c r="R16" s="306">
        <f t="shared" ca="1" si="20"/>
        <v>0.44126854960208534</v>
      </c>
      <c r="S16" s="307">
        <f t="shared" ca="1" si="21"/>
        <v>8.4726848358436797</v>
      </c>
      <c r="T16" s="304">
        <f t="shared" ca="1" si="1"/>
        <v>83.117038239626496</v>
      </c>
      <c r="U16" s="311">
        <f t="shared" ca="1" si="2"/>
        <v>7.2441272027601507</v>
      </c>
      <c r="V16" s="306">
        <f t="shared" ca="1" si="3"/>
        <v>1.2249494636187888</v>
      </c>
      <c r="W16" s="304">
        <f t="shared" ca="1" si="4"/>
        <v>0.24827206485317579</v>
      </c>
      <c r="Y16" s="314" t="str">
        <f t="shared" ca="1" si="22"/>
        <v/>
      </c>
      <c r="Z16" s="315" t="str">
        <f t="shared" ca="1" si="23"/>
        <v/>
      </c>
      <c r="AA16" s="316" t="str">
        <f t="shared" ca="1" si="24"/>
        <v/>
      </c>
      <c r="AC16" s="310" t="e">
        <f t="shared" ca="1" si="25"/>
        <v>#N/A</v>
      </c>
      <c r="AD16" s="323" t="e">
        <f t="shared" ca="1" si="26"/>
        <v>#N/A</v>
      </c>
      <c r="AE16" s="324">
        <f t="shared" ca="1" si="5"/>
        <v>0.41255039715610847</v>
      </c>
      <c r="AG16" s="306">
        <f t="shared" ca="1" si="27"/>
        <v>93.981919966615266</v>
      </c>
      <c r="AH16" s="304">
        <f t="shared" ca="1" si="28"/>
        <v>103.75458995489529</v>
      </c>
    </row>
    <row r="17" spans="1:34" x14ac:dyDescent="0.2">
      <c r="A17" s="347">
        <f t="shared" ca="1" si="6"/>
        <v>0.01</v>
      </c>
      <c r="B17" s="304">
        <f t="shared" ca="1" si="7"/>
        <v>0.12999999999999998</v>
      </c>
      <c r="D17" s="306">
        <f t="shared" ca="1" si="8"/>
        <v>8.1730753427579472</v>
      </c>
      <c r="E17" s="307">
        <f t="shared" ca="1" si="9"/>
        <v>93.423778201532556</v>
      </c>
      <c r="F17" s="304">
        <f t="shared" ca="1" si="10"/>
        <v>93.780602973149769</v>
      </c>
      <c r="G17" s="306">
        <f t="shared" ca="1" si="11"/>
        <v>0.84480929967091556</v>
      </c>
      <c r="H17" s="307">
        <f t="shared" ca="1" si="12"/>
        <v>9.6567543151269941</v>
      </c>
      <c r="I17" s="304">
        <f t="shared" ca="1" si="13"/>
        <v>9.6936374316112257</v>
      </c>
      <c r="J17" s="306">
        <f t="shared" ca="1" si="14"/>
        <v>4.4130835235162147E-2</v>
      </c>
      <c r="K17" s="307">
        <f t="shared" ca="1" si="15"/>
        <v>0.50444675139730177</v>
      </c>
      <c r="L17" s="304">
        <f t="shared" ca="1" si="0"/>
        <v>0.50637343494089826</v>
      </c>
      <c r="M17" s="306">
        <f t="shared" ca="1" si="16"/>
        <v>1.4835298641951802</v>
      </c>
      <c r="N17" s="304">
        <f t="shared" ca="1" si="17"/>
        <v>85</v>
      </c>
      <c r="P17" s="310">
        <f t="shared" ca="1" si="18"/>
        <v>2</v>
      </c>
      <c r="Q17" s="304">
        <f t="shared" ca="1" si="19"/>
        <v>877.16666666666663</v>
      </c>
      <c r="R17" s="306">
        <f t="shared" ca="1" si="20"/>
        <v>0.44020908129571773</v>
      </c>
      <c r="S17" s="307">
        <f t="shared" ca="1" si="21"/>
        <v>8.4682827450307219</v>
      </c>
      <c r="T17" s="304">
        <f t="shared" ca="1" si="1"/>
        <v>83.073853728751388</v>
      </c>
      <c r="U17" s="311">
        <f t="shared" ca="1" si="2"/>
        <v>7.2403634246396367</v>
      </c>
      <c r="V17" s="306">
        <f t="shared" ca="1" si="3"/>
        <v>1.224938206831522</v>
      </c>
      <c r="W17" s="304">
        <f t="shared" ca="1" si="4"/>
        <v>0.30430047354765705</v>
      </c>
      <c r="Y17" s="314" t="str">
        <f t="shared" ca="1" si="22"/>
        <v/>
      </c>
      <c r="Z17" s="315" t="str">
        <f t="shared" ca="1" si="23"/>
        <v/>
      </c>
      <c r="AA17" s="316" t="str">
        <f t="shared" ca="1" si="24"/>
        <v/>
      </c>
      <c r="AC17" s="310" t="e">
        <f t="shared" ca="1" si="25"/>
        <v>#N/A</v>
      </c>
      <c r="AD17" s="323" t="e">
        <f t="shared" ca="1" si="26"/>
        <v>#N/A</v>
      </c>
      <c r="AE17" s="324">
        <f t="shared" ca="1" si="5"/>
        <v>0.50444675139730177</v>
      </c>
      <c r="AG17" s="306">
        <f t="shared" ca="1" si="27"/>
        <v>93.78060297209656</v>
      </c>
      <c r="AH17" s="304">
        <f t="shared" ca="1" si="28"/>
        <v>103.55327296037659</v>
      </c>
    </row>
    <row r="18" spans="1:34" x14ac:dyDescent="0.2">
      <c r="A18" s="347">
        <f t="shared" ca="1" si="6"/>
        <v>0.01</v>
      </c>
      <c r="B18" s="304">
        <f t="shared" ca="1" si="7"/>
        <v>0.13999999999999999</v>
      </c>
      <c r="D18" s="306">
        <f t="shared" ca="1" si="8"/>
        <v>8.1554431254299704</v>
      </c>
      <c r="E18" s="307">
        <f t="shared" ca="1" si="9"/>
        <v>93.222231401494412</v>
      </c>
      <c r="F18" s="304">
        <f t="shared" ca="1" si="10"/>
        <v>93.57828637053521</v>
      </c>
      <c r="G18" s="306">
        <f t="shared" ca="1" si="11"/>
        <v>0.92636373092521529</v>
      </c>
      <c r="H18" s="307">
        <f t="shared" ca="1" si="12"/>
        <v>10.588976629141939</v>
      </c>
      <c r="I18" s="304">
        <f t="shared" ca="1" si="13"/>
        <v>10.629420295316573</v>
      </c>
      <c r="J18" s="306">
        <f t="shared" ca="1" si="14"/>
        <v>5.29867003881428E-2</v>
      </c>
      <c r="K18" s="307">
        <f t="shared" ca="1" si="15"/>
        <v>0.60567540611864645</v>
      </c>
      <c r="L18" s="304">
        <f t="shared" ca="1" si="0"/>
        <v>0.60798872357553646</v>
      </c>
      <c r="M18" s="306">
        <f t="shared" ca="1" si="16"/>
        <v>1.4835298641951802</v>
      </c>
      <c r="N18" s="304">
        <f t="shared" ca="1" si="17"/>
        <v>85</v>
      </c>
      <c r="P18" s="310">
        <f t="shared" ca="1" si="18"/>
        <v>2</v>
      </c>
      <c r="Q18" s="304">
        <f t="shared" ca="1" si="19"/>
        <v>875.05555555555554</v>
      </c>
      <c r="R18" s="306">
        <f t="shared" ca="1" si="20"/>
        <v>0.43914961298935024</v>
      </c>
      <c r="S18" s="307">
        <f t="shared" ca="1" si="21"/>
        <v>8.4638912489008291</v>
      </c>
      <c r="T18" s="304">
        <f t="shared" ca="1" si="1"/>
        <v>83.030773151717142</v>
      </c>
      <c r="U18" s="311">
        <f t="shared" ca="1" si="2"/>
        <v>7.2366087049502195</v>
      </c>
      <c r="V18" s="306">
        <f t="shared" ca="1" si="3"/>
        <v>1.2249258070095941</v>
      </c>
      <c r="W18" s="304">
        <f t="shared" ca="1" si="4"/>
        <v>0.36588436161004256</v>
      </c>
      <c r="Y18" s="314" t="str">
        <f t="shared" ca="1" si="22"/>
        <v/>
      </c>
      <c r="Z18" s="315" t="str">
        <f t="shared" ca="1" si="23"/>
        <v/>
      </c>
      <c r="AA18" s="316" t="str">
        <f t="shared" ca="1" si="24"/>
        <v/>
      </c>
      <c r="AC18" s="310" t="e">
        <f t="shared" ca="1" si="25"/>
        <v>#N/A</v>
      </c>
      <c r="AD18" s="323" t="e">
        <f t="shared" ca="1" si="26"/>
        <v>#N/A</v>
      </c>
      <c r="AE18" s="324">
        <f t="shared" ca="1" si="5"/>
        <v>0.60567540611864645</v>
      </c>
      <c r="AG18" s="306">
        <f t="shared" ca="1" si="27"/>
        <v>93.578286369483692</v>
      </c>
      <c r="AH18" s="304">
        <f t="shared" ca="1" si="28"/>
        <v>103.35095635776372</v>
      </c>
    </row>
    <row r="19" spans="1:34" x14ac:dyDescent="0.2">
      <c r="A19" s="347">
        <f t="shared" ca="1" si="6"/>
        <v>0.01</v>
      </c>
      <c r="B19" s="304">
        <f t="shared" ca="1" si="7"/>
        <v>0.15</v>
      </c>
      <c r="D19" s="306">
        <f t="shared" ca="1" si="8"/>
        <v>8.1377241067367621</v>
      </c>
      <c r="E19" s="307">
        <f t="shared" ca="1" si="9"/>
        <v>93.019692440946997</v>
      </c>
      <c r="F19" s="304">
        <f t="shared" ca="1" si="10"/>
        <v>93.374973817644175</v>
      </c>
      <c r="G19" s="306">
        <f t="shared" ca="1" si="11"/>
        <v>1.0077409719925829</v>
      </c>
      <c r="H19" s="307">
        <f t="shared" ca="1" si="12"/>
        <v>11.519173553551409</v>
      </c>
      <c r="I19" s="304">
        <f t="shared" ca="1" si="13"/>
        <v>11.563170033493011</v>
      </c>
      <c r="J19" s="306">
        <f t="shared" ca="1" si="14"/>
        <v>6.265722390273179E-2</v>
      </c>
      <c r="K19" s="307">
        <f t="shared" ca="1" si="15"/>
        <v>0.71621615703211317</v>
      </c>
      <c r="L19" s="304">
        <f t="shared" ca="1" si="0"/>
        <v>0.71895167521958359</v>
      </c>
      <c r="M19" s="306">
        <f t="shared" ca="1" si="16"/>
        <v>1.4835298641951802</v>
      </c>
      <c r="N19" s="304">
        <f t="shared" ca="1" si="17"/>
        <v>85</v>
      </c>
      <c r="P19" s="310">
        <f t="shared" ca="1" si="18"/>
        <v>2</v>
      </c>
      <c r="Q19" s="304">
        <f t="shared" ca="1" si="19"/>
        <v>872.94444444444446</v>
      </c>
      <c r="R19" s="306">
        <f t="shared" ca="1" si="20"/>
        <v>0.43809014468298269</v>
      </c>
      <c r="S19" s="307">
        <f t="shared" ca="1" si="21"/>
        <v>8.4595103474539997</v>
      </c>
      <c r="T19" s="304">
        <f t="shared" ca="1" si="1"/>
        <v>82.987796508523743</v>
      </c>
      <c r="U19" s="311">
        <f t="shared" ca="1" si="2"/>
        <v>7.2328630436918973</v>
      </c>
      <c r="V19" s="306">
        <f t="shared" ca="1" si="3"/>
        <v>1.2249122666625656</v>
      </c>
      <c r="W19" s="304">
        <f t="shared" ca="1" si="4"/>
        <v>0.43298585729959332</v>
      </c>
      <c r="Y19" s="314" t="str">
        <f t="shared" ca="1" si="22"/>
        <v/>
      </c>
      <c r="Z19" s="315" t="str">
        <f t="shared" ca="1" si="23"/>
        <v/>
      </c>
      <c r="AA19" s="316" t="str">
        <f t="shared" ca="1" si="24"/>
        <v/>
      </c>
      <c r="AC19" s="310" t="e">
        <f t="shared" ca="1" si="25"/>
        <v>#N/A</v>
      </c>
      <c r="AD19" s="323" t="e">
        <f t="shared" ca="1" si="26"/>
        <v>#N/A</v>
      </c>
      <c r="AE19" s="324">
        <f t="shared" ca="1" si="5"/>
        <v>0.71621615703211317</v>
      </c>
      <c r="AG19" s="306">
        <f t="shared" ca="1" si="27"/>
        <v>93.374973816594377</v>
      </c>
      <c r="AH19" s="304">
        <f t="shared" ca="1" si="28"/>
        <v>103.14764380487441</v>
      </c>
    </row>
    <row r="20" spans="1:34" x14ac:dyDescent="0.2">
      <c r="A20" s="347">
        <f t="shared" ca="1" si="6"/>
        <v>0.01</v>
      </c>
      <c r="B20" s="304">
        <f t="shared" ca="1" si="7"/>
        <v>0.16</v>
      </c>
      <c r="D20" s="306">
        <f t="shared" ca="1" si="8"/>
        <v>8.119918608744797</v>
      </c>
      <c r="E20" s="307">
        <f t="shared" ca="1" si="9"/>
        <v>92.816165001137804</v>
      </c>
      <c r="F20" s="304">
        <f t="shared" ca="1" si="10"/>
        <v>93.170669009785897</v>
      </c>
      <c r="G20" s="306">
        <f t="shared" ca="1" si="11"/>
        <v>1.0889401580800309</v>
      </c>
      <c r="H20" s="307">
        <f t="shared" ca="1" si="12"/>
        <v>12.447335203562787</v>
      </c>
      <c r="I20" s="304">
        <f t="shared" ca="1" si="13"/>
        <v>12.494876723590865</v>
      </c>
      <c r="J20" s="306">
        <f t="shared" ca="1" si="14"/>
        <v>7.314062955309486E-2</v>
      </c>
      <c r="K20" s="307">
        <f t="shared" ca="1" si="15"/>
        <v>0.83604870081768412</v>
      </c>
      <c r="L20" s="304">
        <f t="shared" ca="1" si="0"/>
        <v>0.83924190900500228</v>
      </c>
      <c r="M20" s="306">
        <f t="shared" ca="1" si="16"/>
        <v>1.4835298641951802</v>
      </c>
      <c r="N20" s="304">
        <f t="shared" ca="1" si="17"/>
        <v>85</v>
      </c>
      <c r="P20" s="310">
        <f t="shared" ca="1" si="18"/>
        <v>2</v>
      </c>
      <c r="Q20" s="304">
        <f t="shared" ca="1" si="19"/>
        <v>870.83333333333337</v>
      </c>
      <c r="R20" s="306">
        <f t="shared" ca="1" si="20"/>
        <v>0.43703067637661513</v>
      </c>
      <c r="S20" s="307">
        <f t="shared" ca="1" si="21"/>
        <v>8.4551400406902335</v>
      </c>
      <c r="T20" s="304">
        <f t="shared" ca="1" si="1"/>
        <v>82.944923799171193</v>
      </c>
      <c r="U20" s="311">
        <f t="shared" ca="1" si="2"/>
        <v>7.2291264408646718</v>
      </c>
      <c r="V20" s="306">
        <f t="shared" ca="1" si="3"/>
        <v>1.2248975883152078</v>
      </c>
      <c r="W20" s="304">
        <f t="shared" ca="1" si="4"/>
        <v>0.50556690228785572</v>
      </c>
      <c r="Y20" s="314" t="str">
        <f t="shared" ca="1" si="22"/>
        <v/>
      </c>
      <c r="Z20" s="315" t="str">
        <f t="shared" ca="1" si="23"/>
        <v/>
      </c>
      <c r="AA20" s="316" t="str">
        <f t="shared" ca="1" si="24"/>
        <v/>
      </c>
      <c r="AC20" s="310" t="e">
        <f t="shared" ca="1" si="25"/>
        <v>#N/A</v>
      </c>
      <c r="AD20" s="323" t="e">
        <f t="shared" ca="1" si="26"/>
        <v>#N/A</v>
      </c>
      <c r="AE20" s="324">
        <f t="shared" ca="1" si="5"/>
        <v>0.83604870081768412</v>
      </c>
      <c r="AG20" s="306">
        <f t="shared" ca="1" si="27"/>
        <v>93.170669008737789</v>
      </c>
      <c r="AH20" s="304">
        <f t="shared" ca="1" si="28"/>
        <v>102.94333899701782</v>
      </c>
    </row>
    <row r="21" spans="1:34" x14ac:dyDescent="0.2">
      <c r="A21" s="347">
        <f t="shared" ca="1" si="6"/>
        <v>0.01</v>
      </c>
      <c r="B21" s="304">
        <f t="shared" ca="1" si="7"/>
        <v>0.17</v>
      </c>
      <c r="D21" s="306">
        <f t="shared" ca="1" si="8"/>
        <v>8.102026956762435</v>
      </c>
      <c r="E21" s="307">
        <f t="shared" ca="1" si="9"/>
        <v>92.611652800369427</v>
      </c>
      <c r="F21" s="304">
        <f t="shared" ca="1" si="10"/>
        <v>92.965375679466163</v>
      </c>
      <c r="G21" s="306">
        <f t="shared" ca="1" si="11"/>
        <v>1.1699604276476552</v>
      </c>
      <c r="H21" s="307">
        <f t="shared" ca="1" si="12"/>
        <v>13.373451731566481</v>
      </c>
      <c r="I21" s="304">
        <f t="shared" ca="1" si="13"/>
        <v>13.424530480385526</v>
      </c>
      <c r="J21" s="306">
        <f t="shared" ca="1" si="14"/>
        <v>8.4435132481733288E-2</v>
      </c>
      <c r="K21" s="307">
        <f t="shared" ca="1" si="15"/>
        <v>0.96515263549333041</v>
      </c>
      <c r="L21" s="304">
        <f t="shared" ca="1" si="0"/>
        <v>0.96883894502488355</v>
      </c>
      <c r="M21" s="306">
        <f t="shared" ca="1" si="16"/>
        <v>1.4835298641951802</v>
      </c>
      <c r="N21" s="304">
        <f t="shared" ca="1" si="17"/>
        <v>85</v>
      </c>
      <c r="P21" s="310">
        <f t="shared" ca="1" si="18"/>
        <v>2</v>
      </c>
      <c r="Q21" s="304">
        <f t="shared" ca="1" si="19"/>
        <v>868.72222222222217</v>
      </c>
      <c r="R21" s="306">
        <f t="shared" ca="1" si="20"/>
        <v>0.43597120807024753</v>
      </c>
      <c r="S21" s="307">
        <f t="shared" ca="1" si="21"/>
        <v>8.4507803286095307</v>
      </c>
      <c r="T21" s="304">
        <f t="shared" ca="1" si="1"/>
        <v>82.902155023659503</v>
      </c>
      <c r="U21" s="311">
        <f t="shared" ca="1" si="2"/>
        <v>7.2253988964685423</v>
      </c>
      <c r="V21" s="306">
        <f t="shared" ca="1" si="3"/>
        <v>1.2248817745074343</v>
      </c>
      <c r="W21" s="304">
        <f t="shared" ca="1" si="4"/>
        <v>0.58358925459485211</v>
      </c>
      <c r="Y21" s="314" t="str">
        <f t="shared" ca="1" si="22"/>
        <v/>
      </c>
      <c r="Z21" s="315" t="str">
        <f t="shared" ca="1" si="23"/>
        <v/>
      </c>
      <c r="AA21" s="316" t="str">
        <f t="shared" ca="1" si="24"/>
        <v/>
      </c>
      <c r="AC21" s="310" t="e">
        <f t="shared" ca="1" si="25"/>
        <v>#N/A</v>
      </c>
      <c r="AD21" s="323" t="e">
        <f t="shared" ca="1" si="26"/>
        <v>#N/A</v>
      </c>
      <c r="AE21" s="324">
        <f t="shared" ca="1" si="5"/>
        <v>0.96515263549333041</v>
      </c>
      <c r="AG21" s="306">
        <f t="shared" ca="1" si="27"/>
        <v>92.965375678419761</v>
      </c>
      <c r="AH21" s="304">
        <f t="shared" ca="1" si="28"/>
        <v>102.73804566669979</v>
      </c>
    </row>
    <row r="22" spans="1:34" x14ac:dyDescent="0.2">
      <c r="A22" s="347">
        <f t="shared" ca="1" si="6"/>
        <v>0.01</v>
      </c>
      <c r="B22" s="304">
        <f t="shared" ca="1" si="7"/>
        <v>0.18000000000000002</v>
      </c>
      <c r="D22" s="306">
        <f t="shared" ca="1" si="8"/>
        <v>8.0840494793139417</v>
      </c>
      <c r="E22" s="307">
        <f t="shared" ca="1" si="9"/>
        <v>92.406159593702498</v>
      </c>
      <c r="F22" s="304">
        <f t="shared" ca="1" si="10"/>
        <v>92.759097596089262</v>
      </c>
      <c r="G22" s="306">
        <f t="shared" ca="1" si="11"/>
        <v>1.2508009224407945</v>
      </c>
      <c r="H22" s="307">
        <f t="shared" ca="1" si="12"/>
        <v>14.297513327503506</v>
      </c>
      <c r="I22" s="304">
        <f t="shared" ca="1" si="13"/>
        <v>14.352121456346413</v>
      </c>
      <c r="J22" s="306">
        <f t="shared" ca="1" si="14"/>
        <v>9.6538939232175533E-2</v>
      </c>
      <c r="K22" s="307">
        <f t="shared" ca="1" si="15"/>
        <v>1.1035074607886803</v>
      </c>
      <c r="L22" s="304">
        <f t="shared" ca="1" si="0"/>
        <v>1.1077222047085427</v>
      </c>
      <c r="M22" s="306">
        <f t="shared" ca="1" si="16"/>
        <v>1.4835298641951802</v>
      </c>
      <c r="N22" s="304">
        <f t="shared" ca="1" si="17"/>
        <v>85</v>
      </c>
      <c r="P22" s="310">
        <f t="shared" ca="1" si="18"/>
        <v>2</v>
      </c>
      <c r="Q22" s="304">
        <f t="shared" ca="1" si="19"/>
        <v>866.61111111111109</v>
      </c>
      <c r="R22" s="306">
        <f t="shared" ca="1" si="20"/>
        <v>0.43491173976387998</v>
      </c>
      <c r="S22" s="307">
        <f t="shared" ca="1" si="21"/>
        <v>8.4464312112118911</v>
      </c>
      <c r="T22" s="304">
        <f t="shared" ca="1" si="1"/>
        <v>82.859490181988662</v>
      </c>
      <c r="U22" s="311">
        <f t="shared" ca="1" si="2"/>
        <v>7.2216804105035086</v>
      </c>
      <c r="V22" s="306">
        <f t="shared" ca="1" si="3"/>
        <v>1.2248648277942302</v>
      </c>
      <c r="W22" s="304">
        <f t="shared" ca="1" si="4"/>
        <v>0.66701449153884484</v>
      </c>
      <c r="Y22" s="314" t="str">
        <f t="shared" ca="1" si="22"/>
        <v/>
      </c>
      <c r="Z22" s="315" t="str">
        <f t="shared" ca="1" si="23"/>
        <v/>
      </c>
      <c r="AA22" s="316" t="str">
        <f t="shared" ca="1" si="24"/>
        <v/>
      </c>
      <c r="AC22" s="310" t="e">
        <f t="shared" ca="1" si="25"/>
        <v>#N/A</v>
      </c>
      <c r="AD22" s="323" t="e">
        <f t="shared" ca="1" si="26"/>
        <v>#N/A</v>
      </c>
      <c r="AE22" s="324">
        <f t="shared" ca="1" si="5"/>
        <v>1.1035074607886803</v>
      </c>
      <c r="AG22" s="306">
        <f t="shared" ca="1" si="27"/>
        <v>92.759097595044537</v>
      </c>
      <c r="AH22" s="304">
        <f t="shared" ca="1" si="28"/>
        <v>102.53176758332457</v>
      </c>
    </row>
    <row r="23" spans="1:34" x14ac:dyDescent="0.2">
      <c r="A23" s="347">
        <f t="shared" ca="1" si="6"/>
        <v>0.01</v>
      </c>
      <c r="B23" s="304">
        <f t="shared" ca="1" si="7"/>
        <v>0.19000000000000003</v>
      </c>
      <c r="D23" s="306">
        <f t="shared" ca="1" si="8"/>
        <v>8.0659865081131876</v>
      </c>
      <c r="E23" s="307">
        <f t="shared" ca="1" si="9"/>
        <v>92.199689172655198</v>
      </c>
      <c r="F23" s="304">
        <f t="shared" ca="1" si="10"/>
        <v>92.551838565656269</v>
      </c>
      <c r="G23" s="306">
        <f t="shared" ca="1" si="11"/>
        <v>1.3314607875219264</v>
      </c>
      <c r="H23" s="307">
        <f t="shared" ca="1" si="12"/>
        <v>15.219510219230058</v>
      </c>
      <c r="I23" s="304">
        <f t="shared" ca="1" si="13"/>
        <v>15.277639842002975</v>
      </c>
      <c r="J23" s="306">
        <f t="shared" ca="1" si="14"/>
        <v>0.10945024778198914</v>
      </c>
      <c r="K23" s="307">
        <f t="shared" ca="1" si="15"/>
        <v>1.2510925785223481</v>
      </c>
      <c r="L23" s="304">
        <f t="shared" ca="1" si="0"/>
        <v>1.2558710112002891</v>
      </c>
      <c r="M23" s="306">
        <f t="shared" ca="1" si="16"/>
        <v>1.4835298641951802</v>
      </c>
      <c r="N23" s="304">
        <f t="shared" ca="1" si="17"/>
        <v>85</v>
      </c>
      <c r="P23" s="310">
        <f t="shared" ca="1" si="18"/>
        <v>2</v>
      </c>
      <c r="Q23" s="304">
        <f t="shared" ca="1" si="19"/>
        <v>864.5</v>
      </c>
      <c r="R23" s="306">
        <f t="shared" ca="1" si="20"/>
        <v>0.43385227145751248</v>
      </c>
      <c r="S23" s="307">
        <f t="shared" ca="1" si="21"/>
        <v>8.4420926884973166</v>
      </c>
      <c r="T23" s="304">
        <f t="shared" ca="1" si="1"/>
        <v>82.816929274158682</v>
      </c>
      <c r="U23" s="311">
        <f t="shared" ca="1" si="2"/>
        <v>7.2179709829695726</v>
      </c>
      <c r="V23" s="306">
        <f t="shared" ca="1" si="3"/>
        <v>1.2248467507455816</v>
      </c>
      <c r="W23" s="304">
        <f t="shared" ca="1" si="4"/>
        <v>0.75580401269928044</v>
      </c>
      <c r="Y23" s="314" t="str">
        <f t="shared" ca="1" si="22"/>
        <v/>
      </c>
      <c r="Z23" s="315" t="str">
        <f t="shared" ca="1" si="23"/>
        <v/>
      </c>
      <c r="AA23" s="316" t="str">
        <f t="shared" ca="1" si="24"/>
        <v/>
      </c>
      <c r="AC23" s="310" t="e">
        <f t="shared" ca="1" si="25"/>
        <v>#N/A</v>
      </c>
      <c r="AD23" s="323" t="e">
        <f t="shared" ca="1" si="26"/>
        <v>#N/A</v>
      </c>
      <c r="AE23" s="324">
        <f t="shared" ca="1" si="5"/>
        <v>1.2510925785223481</v>
      </c>
      <c r="AG23" s="306">
        <f t="shared" ca="1" si="27"/>
        <v>92.55183856461322</v>
      </c>
      <c r="AH23" s="304">
        <f t="shared" ca="1" si="28"/>
        <v>102.32450855289325</v>
      </c>
    </row>
    <row r="24" spans="1:34" x14ac:dyDescent="0.2">
      <c r="A24" s="347">
        <f t="shared" ca="1" si="6"/>
        <v>0.01</v>
      </c>
      <c r="B24" s="304">
        <f t="shared" ca="1" si="7"/>
        <v>0.20000000000000004</v>
      </c>
      <c r="D24" s="306">
        <f t="shared" ca="1" si="8"/>
        <v>8.0478383780371221</v>
      </c>
      <c r="E24" s="307">
        <f t="shared" ca="1" si="9"/>
        <v>91.992245364900029</v>
      </c>
      <c r="F24" s="304">
        <f t="shared" ca="1" si="10"/>
        <v>92.343602430460649</v>
      </c>
      <c r="G24" s="306">
        <f t="shared" ca="1" si="11"/>
        <v>1.4119391713022977</v>
      </c>
      <c r="H24" s="307">
        <f t="shared" ca="1" si="12"/>
        <v>16.139432672879057</v>
      </c>
      <c r="I24" s="304">
        <f t="shared" ca="1" si="13"/>
        <v>16.201075866307576</v>
      </c>
      <c r="J24" s="306">
        <f t="shared" ca="1" si="14"/>
        <v>0.12316724757611026</v>
      </c>
      <c r="K24" s="307">
        <f t="shared" ca="1" si="15"/>
        <v>1.4078872929828936</v>
      </c>
      <c r="L24" s="304">
        <f t="shared" ca="1" si="0"/>
        <v>1.4132645897418412</v>
      </c>
      <c r="M24" s="306">
        <f t="shared" ca="1" si="16"/>
        <v>1.4835298641951802</v>
      </c>
      <c r="N24" s="304">
        <f t="shared" ca="1" si="17"/>
        <v>85</v>
      </c>
      <c r="P24" s="310">
        <f t="shared" ca="1" si="18"/>
        <v>2</v>
      </c>
      <c r="Q24" s="304">
        <f t="shared" ca="1" si="19"/>
        <v>862.38888888888891</v>
      </c>
      <c r="R24" s="306">
        <f t="shared" ca="1" si="20"/>
        <v>0.43279280315114493</v>
      </c>
      <c r="S24" s="307">
        <f t="shared" ca="1" si="21"/>
        <v>8.4377647604658055</v>
      </c>
      <c r="T24" s="304">
        <f t="shared" ca="1" si="1"/>
        <v>82.774472300169549</v>
      </c>
      <c r="U24" s="311">
        <f t="shared" ca="1" si="2"/>
        <v>7.2142706138667316</v>
      </c>
      <c r="V24" s="306">
        <f t="shared" ca="1" si="3"/>
        <v>1.2248275459464033</v>
      </c>
      <c r="W24" s="304">
        <f t="shared" ca="1" si="4"/>
        <v>0.8499190428925022</v>
      </c>
      <c r="Y24" s="314" t="str">
        <f t="shared" ca="1" si="22"/>
        <v/>
      </c>
      <c r="Z24" s="315" t="str">
        <f t="shared" ca="1" si="23"/>
        <v/>
      </c>
      <c r="AA24" s="316" t="str">
        <f t="shared" ca="1" si="24"/>
        <v/>
      </c>
      <c r="AC24" s="310" t="e">
        <f t="shared" ca="1" si="25"/>
        <v>#N/A</v>
      </c>
      <c r="AD24" s="323" t="e">
        <f t="shared" ca="1" si="26"/>
        <v>#N/A</v>
      </c>
      <c r="AE24" s="324">
        <f t="shared" ca="1" si="5"/>
        <v>1.4078872929828936</v>
      </c>
      <c r="AG24" s="306">
        <f t="shared" ca="1" si="27"/>
        <v>92.343602429419292</v>
      </c>
      <c r="AH24" s="304">
        <f t="shared" ca="1" si="28"/>
        <v>102.11627241769932</v>
      </c>
    </row>
    <row r="25" spans="1:34" x14ac:dyDescent="0.2">
      <c r="A25" s="347">
        <f t="shared" ca="1" si="6"/>
        <v>0.01</v>
      </c>
      <c r="B25" s="304">
        <f t="shared" ca="1" si="7"/>
        <v>0.21000000000000005</v>
      </c>
      <c r="D25" s="306">
        <f t="shared" ca="1" si="8"/>
        <v>8.0296054270989519</v>
      </c>
      <c r="E25" s="307">
        <f t="shared" ca="1" si="9"/>
        <v>91.783832033957111</v>
      </c>
      <c r="F25" s="304">
        <f t="shared" ca="1" si="10"/>
        <v>92.134393068780497</v>
      </c>
      <c r="G25" s="306">
        <f t="shared" ca="1" si="11"/>
        <v>1.4922352255732871</v>
      </c>
      <c r="H25" s="307">
        <f t="shared" ca="1" si="12"/>
        <v>17.057270993218626</v>
      </c>
      <c r="I25" s="304">
        <f t="shared" ca="1" si="13"/>
        <v>17.122419796995381</v>
      </c>
      <c r="J25" s="306">
        <f t="shared" ca="1" si="14"/>
        <v>0.13768811956048818</v>
      </c>
      <c r="K25" s="307">
        <f t="shared" ca="1" si="15"/>
        <v>1.5738708113133821</v>
      </c>
      <c r="L25" s="304">
        <f t="shared" ca="1" si="0"/>
        <v>1.5798820680583558</v>
      </c>
      <c r="M25" s="306">
        <f t="shared" ca="1" si="16"/>
        <v>1.4835298641951802</v>
      </c>
      <c r="N25" s="304">
        <f t="shared" ca="1" si="17"/>
        <v>85</v>
      </c>
      <c r="P25" s="310">
        <f t="shared" ca="1" si="18"/>
        <v>2</v>
      </c>
      <c r="Q25" s="304">
        <f t="shared" ca="1" si="19"/>
        <v>860.27777777777783</v>
      </c>
      <c r="R25" s="306">
        <f t="shared" ca="1" si="20"/>
        <v>0.43173333484477738</v>
      </c>
      <c r="S25" s="307">
        <f t="shared" ca="1" si="21"/>
        <v>8.4334474271173576</v>
      </c>
      <c r="T25" s="304">
        <f t="shared" ca="1" si="1"/>
        <v>82.732119260021278</v>
      </c>
      <c r="U25" s="311">
        <f t="shared" ca="1" si="2"/>
        <v>7.2105793031949874</v>
      </c>
      <c r="V25" s="306">
        <f t="shared" ca="1" si="3"/>
        <v>1.22480721599647</v>
      </c>
      <c r="W25" s="304">
        <f t="shared" ca="1" si="4"/>
        <v>0.94932063515984477</v>
      </c>
      <c r="Y25" s="314" t="str">
        <f t="shared" ca="1" si="22"/>
        <v/>
      </c>
      <c r="Z25" s="315" t="str">
        <f t="shared" ca="1" si="23"/>
        <v/>
      </c>
      <c r="AA25" s="316" t="str">
        <f t="shared" ca="1" si="24"/>
        <v/>
      </c>
      <c r="AC25" s="310" t="e">
        <f t="shared" ca="1" si="25"/>
        <v>#N/A</v>
      </c>
      <c r="AD25" s="323" t="e">
        <f t="shared" ca="1" si="26"/>
        <v>#N/A</v>
      </c>
      <c r="AE25" s="324">
        <f t="shared" ca="1" si="5"/>
        <v>1.5738708113133821</v>
      </c>
      <c r="AG25" s="306">
        <f t="shared" ca="1" si="27"/>
        <v>92.134393067740817</v>
      </c>
      <c r="AH25" s="304">
        <f t="shared" ca="1" si="28"/>
        <v>101.90706305602085</v>
      </c>
    </row>
    <row r="26" spans="1:34" x14ac:dyDescent="0.2">
      <c r="A26" s="347">
        <f t="shared" ca="1" si="6"/>
        <v>0.01</v>
      </c>
      <c r="B26" s="304">
        <f t="shared" ca="1" si="7"/>
        <v>0.22000000000000006</v>
      </c>
      <c r="D26" s="306">
        <f t="shared" ca="1" si="8"/>
        <v>8.0112879964210233</v>
      </c>
      <c r="E26" s="307">
        <f t="shared" ca="1" si="9"/>
        <v>91.574453078884488</v>
      </c>
      <c r="F26" s="304">
        <f t="shared" ca="1" si="10"/>
        <v>91.924214394567542</v>
      </c>
      <c r="G26" s="306">
        <f t="shared" ca="1" si="11"/>
        <v>1.5723481055374973</v>
      </c>
      <c r="H26" s="307">
        <f t="shared" ca="1" si="12"/>
        <v>17.973015524007472</v>
      </c>
      <c r="I26" s="304">
        <f t="shared" ca="1" si="13"/>
        <v>18.041661940941054</v>
      </c>
      <c r="J26" s="306">
        <f t="shared" ca="1" si="14"/>
        <v>0.15301103621604212</v>
      </c>
      <c r="K26" s="307">
        <f t="shared" ca="1" si="15"/>
        <v>1.7490222438995127</v>
      </c>
      <c r="L26" s="304">
        <f t="shared" ca="1" si="0"/>
        <v>1.7557024767480376</v>
      </c>
      <c r="M26" s="306">
        <f t="shared" ca="1" si="16"/>
        <v>1.4835298641951802</v>
      </c>
      <c r="N26" s="304">
        <f t="shared" ca="1" si="17"/>
        <v>85</v>
      </c>
      <c r="P26" s="310">
        <f t="shared" ca="1" si="18"/>
        <v>2</v>
      </c>
      <c r="Q26" s="304">
        <f t="shared" ca="1" si="19"/>
        <v>858.16666666666663</v>
      </c>
      <c r="R26" s="306">
        <f t="shared" ca="1" si="20"/>
        <v>0.43067386653840978</v>
      </c>
      <c r="S26" s="307">
        <f t="shared" ca="1" si="21"/>
        <v>8.4291406884519731</v>
      </c>
      <c r="T26" s="304">
        <f t="shared" ca="1" si="1"/>
        <v>82.689870153713855</v>
      </c>
      <c r="U26" s="311">
        <f t="shared" ca="1" si="2"/>
        <v>7.2068970509543391</v>
      </c>
      <c r="V26" s="306">
        <f t="shared" ca="1" si="3"/>
        <v>1.2247857635103414</v>
      </c>
      <c r="W26" s="304">
        <f t="shared" ca="1" si="4"/>
        <v>1.0539696737676878</v>
      </c>
      <c r="Y26" s="314" t="str">
        <f t="shared" ca="1" si="22"/>
        <v/>
      </c>
      <c r="Z26" s="315" t="str">
        <f t="shared" ca="1" si="23"/>
        <v/>
      </c>
      <c r="AA26" s="316" t="str">
        <f t="shared" ca="1" si="24"/>
        <v/>
      </c>
      <c r="AC26" s="310" t="e">
        <f t="shared" ca="1" si="25"/>
        <v>#N/A</v>
      </c>
      <c r="AD26" s="323" t="e">
        <f t="shared" ca="1" si="26"/>
        <v>#N/A</v>
      </c>
      <c r="AE26" s="324">
        <f t="shared" ca="1" si="5"/>
        <v>1.7490222438995127</v>
      </c>
      <c r="AG26" s="306">
        <f t="shared" ca="1" si="27"/>
        <v>91.92421439352951</v>
      </c>
      <c r="AH26" s="304">
        <f t="shared" ca="1" si="28"/>
        <v>101.69688438180954</v>
      </c>
    </row>
    <row r="27" spans="1:34" x14ac:dyDescent="0.2">
      <c r="A27" s="347">
        <f t="shared" ca="1" si="6"/>
        <v>0.01</v>
      </c>
      <c r="B27" s="304">
        <f t="shared" ca="1" si="7"/>
        <v>0.23000000000000007</v>
      </c>
      <c r="D27" s="306">
        <f t="shared" ca="1" si="8"/>
        <v>7.9928864302074896</v>
      </c>
      <c r="E27" s="307">
        <f t="shared" ca="1" si="9"/>
        <v>91.364112433965445</v>
      </c>
      <c r="F27" s="304">
        <f t="shared" ca="1" si="10"/>
        <v>91.713070357133262</v>
      </c>
      <c r="G27" s="306">
        <f t="shared" ca="1" si="11"/>
        <v>1.6522769698395721</v>
      </c>
      <c r="H27" s="307">
        <f t="shared" ca="1" si="12"/>
        <v>18.886656648347127</v>
      </c>
      <c r="I27" s="304">
        <f t="shared" ca="1" si="13"/>
        <v>18.958792644512389</v>
      </c>
      <c r="J27" s="306">
        <f t="shared" ca="1" si="14"/>
        <v>0.16913416159292746</v>
      </c>
      <c r="K27" s="307">
        <f t="shared" ca="1" si="15"/>
        <v>1.9333206047612856</v>
      </c>
      <c r="L27" s="304">
        <f t="shared" ca="1" si="0"/>
        <v>1.9407047496753045</v>
      </c>
      <c r="M27" s="306">
        <f t="shared" ca="1" si="16"/>
        <v>1.4835298641951802</v>
      </c>
      <c r="N27" s="304">
        <f t="shared" ca="1" si="17"/>
        <v>85</v>
      </c>
      <c r="P27" s="310">
        <f t="shared" ca="1" si="18"/>
        <v>2</v>
      </c>
      <c r="Q27" s="304">
        <f t="shared" ca="1" si="19"/>
        <v>856.05555555555554</v>
      </c>
      <c r="R27" s="306">
        <f t="shared" ca="1" si="20"/>
        <v>0.42961439823204223</v>
      </c>
      <c r="S27" s="307">
        <f t="shared" ca="1" si="21"/>
        <v>8.4248445444696518</v>
      </c>
      <c r="T27" s="304">
        <f t="shared" ca="1" si="1"/>
        <v>82.647724981247293</v>
      </c>
      <c r="U27" s="311">
        <f t="shared" ca="1" si="2"/>
        <v>7.2032238571447884</v>
      </c>
      <c r="V27" s="306">
        <f t="shared" ca="1" si="3"/>
        <v>1.2247631911172918</v>
      </c>
      <c r="W27" s="304">
        <f t="shared" ca="1" si="4"/>
        <v>1.1638268772190845</v>
      </c>
      <c r="Y27" s="314" t="str">
        <f t="shared" ca="1" si="22"/>
        <v/>
      </c>
      <c r="Z27" s="315" t="str">
        <f t="shared" ca="1" si="23"/>
        <v/>
      </c>
      <c r="AA27" s="316" t="str">
        <f t="shared" ca="1" si="24"/>
        <v/>
      </c>
      <c r="AC27" s="310" t="e">
        <f t="shared" ca="1" si="25"/>
        <v>#N/A</v>
      </c>
      <c r="AD27" s="323" t="e">
        <f t="shared" ca="1" si="26"/>
        <v>#N/A</v>
      </c>
      <c r="AE27" s="324">
        <f t="shared" ca="1" si="5"/>
        <v>1.9333206047612856</v>
      </c>
      <c r="AG27" s="306">
        <f t="shared" ca="1" si="27"/>
        <v>91.713070356096921</v>
      </c>
      <c r="AH27" s="304">
        <f t="shared" ca="1" si="28"/>
        <v>101.48574034437695</v>
      </c>
    </row>
    <row r="28" spans="1:34" x14ac:dyDescent="0.2">
      <c r="A28" s="347">
        <f t="shared" ca="1" si="6"/>
        <v>0.01</v>
      </c>
      <c r="B28" s="304">
        <f t="shared" ca="1" si="7"/>
        <v>0.24000000000000007</v>
      </c>
      <c r="D28" s="306">
        <f t="shared" ca="1" si="8"/>
        <v>7.9744010757166732</v>
      </c>
      <c r="E28" s="307">
        <f t="shared" ca="1" si="9"/>
        <v>91.152814068392843</v>
      </c>
      <c r="F28" s="304">
        <f t="shared" ca="1" si="10"/>
        <v>91.500964940832105</v>
      </c>
      <c r="G28" s="306">
        <f t="shared" ca="1" si="11"/>
        <v>1.7320209805967388</v>
      </c>
      <c r="H28" s="307">
        <f t="shared" ca="1" si="12"/>
        <v>19.798184789031055</v>
      </c>
      <c r="I28" s="304">
        <f t="shared" ca="1" si="13"/>
        <v>19.873802293920708</v>
      </c>
      <c r="J28" s="306">
        <f t="shared" ca="1" si="14"/>
        <v>0.18605565134510901</v>
      </c>
      <c r="K28" s="307">
        <f t="shared" ca="1" si="15"/>
        <v>2.1267448119481767</v>
      </c>
      <c r="L28" s="304">
        <f t="shared" ca="1" si="0"/>
        <v>2.1348677243674699</v>
      </c>
      <c r="M28" s="306">
        <f t="shared" ca="1" si="16"/>
        <v>1.4835298641951802</v>
      </c>
      <c r="N28" s="304">
        <f t="shared" ca="1" si="17"/>
        <v>85</v>
      </c>
      <c r="P28" s="310">
        <f t="shared" ca="1" si="18"/>
        <v>2</v>
      </c>
      <c r="Q28" s="304">
        <f t="shared" ca="1" si="19"/>
        <v>853.94444444444446</v>
      </c>
      <c r="R28" s="306">
        <f t="shared" ca="1" si="20"/>
        <v>0.42855492992567468</v>
      </c>
      <c r="S28" s="307">
        <f t="shared" ca="1" si="21"/>
        <v>8.4205589951703956</v>
      </c>
      <c r="T28" s="304">
        <f t="shared" ca="1" si="1"/>
        <v>82.605683742621579</v>
      </c>
      <c r="U28" s="311">
        <f t="shared" ca="1" si="2"/>
        <v>7.1995597217663327</v>
      </c>
      <c r="V28" s="306">
        <f t="shared" ca="1" si="3"/>
        <v>1.2247395014612323</v>
      </c>
      <c r="W28" s="304">
        <f t="shared" ca="1" si="4"/>
        <v>1.278852801276535</v>
      </c>
      <c r="Y28" s="314" t="str">
        <f t="shared" ca="1" si="22"/>
        <v/>
      </c>
      <c r="Z28" s="315" t="str">
        <f t="shared" ca="1" si="23"/>
        <v/>
      </c>
      <c r="AA28" s="316" t="str">
        <f t="shared" ca="1" si="24"/>
        <v/>
      </c>
      <c r="AC28" s="310" t="e">
        <f t="shared" ca="1" si="25"/>
        <v>#N/A</v>
      </c>
      <c r="AD28" s="323" t="e">
        <f t="shared" ca="1" si="26"/>
        <v>#N/A</v>
      </c>
      <c r="AE28" s="324">
        <f t="shared" ca="1" si="5"/>
        <v>2.1267448119481767</v>
      </c>
      <c r="AG28" s="306">
        <f t="shared" ca="1" si="27"/>
        <v>91.500964939797427</v>
      </c>
      <c r="AH28" s="304">
        <f t="shared" ca="1" si="28"/>
        <v>101.27363492807746</v>
      </c>
    </row>
    <row r="29" spans="1:34" x14ac:dyDescent="0.2">
      <c r="A29" s="347">
        <f t="shared" ca="1" si="6"/>
        <v>0.01</v>
      </c>
      <c r="B29" s="304">
        <f t="shared" ca="1" si="7"/>
        <v>0.25000000000000006</v>
      </c>
      <c r="D29" s="306">
        <f t="shared" ca="1" si="8"/>
        <v>7.9558322832331942</v>
      </c>
      <c r="E29" s="307">
        <f t="shared" ca="1" si="9"/>
        <v>90.940561985950296</v>
      </c>
      <c r="F29" s="304">
        <f t="shared" ca="1" si="10"/>
        <v>91.287902164741439</v>
      </c>
      <c r="G29" s="306">
        <f t="shared" ca="1" si="11"/>
        <v>1.8115793034290708</v>
      </c>
      <c r="H29" s="307">
        <f t="shared" ca="1" si="12"/>
        <v>20.707590408890557</v>
      </c>
      <c r="I29" s="304">
        <f t="shared" ca="1" si="13"/>
        <v>20.786681315568117</v>
      </c>
      <c r="J29" s="306">
        <f t="shared" ca="1" si="14"/>
        <v>0.20377365276523807</v>
      </c>
      <c r="K29" s="307">
        <f t="shared" ca="1" si="15"/>
        <v>2.3292736879377847</v>
      </c>
      <c r="L29" s="304">
        <f t="shared" ca="1" si="0"/>
        <v>2.3381701424149135</v>
      </c>
      <c r="M29" s="306">
        <f t="shared" ca="1" si="16"/>
        <v>1.4835298641951802</v>
      </c>
      <c r="N29" s="304">
        <f t="shared" ca="1" si="17"/>
        <v>85</v>
      </c>
      <c r="P29" s="310">
        <f t="shared" ca="1" si="18"/>
        <v>2</v>
      </c>
      <c r="Q29" s="304">
        <f t="shared" ca="1" si="19"/>
        <v>851.83333333333337</v>
      </c>
      <c r="R29" s="306">
        <f t="shared" ca="1" si="20"/>
        <v>0.42749546161930718</v>
      </c>
      <c r="S29" s="307">
        <f t="shared" ca="1" si="21"/>
        <v>8.4162840405542028</v>
      </c>
      <c r="T29" s="304">
        <f t="shared" ca="1" si="1"/>
        <v>82.563746437836727</v>
      </c>
      <c r="U29" s="311">
        <f t="shared" ca="1" si="2"/>
        <v>7.1959046448189738</v>
      </c>
      <c r="V29" s="306">
        <f t="shared" ca="1" si="3"/>
        <v>1.2247146972006429</v>
      </c>
      <c r="W29" s="304">
        <f t="shared" ca="1" si="4"/>
        <v>1.3990078419955305</v>
      </c>
      <c r="Y29" s="314" t="str">
        <f t="shared" ca="1" si="22"/>
        <v/>
      </c>
      <c r="Z29" s="315" t="str">
        <f t="shared" ca="1" si="23"/>
        <v/>
      </c>
      <c r="AA29" s="316" t="str">
        <f t="shared" ca="1" si="24"/>
        <v/>
      </c>
      <c r="AC29" s="310" t="e">
        <f t="shared" ca="1" si="25"/>
        <v>#N/A</v>
      </c>
      <c r="AD29" s="323" t="e">
        <f t="shared" ca="1" si="26"/>
        <v>#N/A</v>
      </c>
      <c r="AE29" s="324">
        <f t="shared" ca="1" si="5"/>
        <v>2.3292736879377847</v>
      </c>
      <c r="AG29" s="306">
        <f t="shared" ca="1" si="27"/>
        <v>91.287902163708409</v>
      </c>
      <c r="AH29" s="304">
        <f t="shared" ca="1" si="28"/>
        <v>101.06057215198844</v>
      </c>
    </row>
    <row r="30" spans="1:34" x14ac:dyDescent="0.2">
      <c r="A30" s="347">
        <f t="shared" ca="1" si="6"/>
        <v>0.01</v>
      </c>
      <c r="B30" s="304">
        <f t="shared" ca="1" si="7"/>
        <v>0.26000000000000006</v>
      </c>
      <c r="D30" s="306">
        <f t="shared" ca="1" si="8"/>
        <v>7.9371804060398352</v>
      </c>
      <c r="E30" s="307">
        <f t="shared" ca="1" si="9"/>
        <v>90.727360224690827</v>
      </c>
      <c r="F30" s="304">
        <f t="shared" ca="1" si="10"/>
        <v>91.073886082338845</v>
      </c>
      <c r="G30" s="306">
        <f t="shared" ca="1" si="11"/>
        <v>1.8909511074894692</v>
      </c>
      <c r="H30" s="307">
        <f t="shared" ca="1" si="12"/>
        <v>21.614864011137463</v>
      </c>
      <c r="I30" s="304">
        <f t="shared" ca="1" si="13"/>
        <v>21.697420176391507</v>
      </c>
      <c r="J30" s="306">
        <f t="shared" ca="1" si="14"/>
        <v>0.22228630481983078</v>
      </c>
      <c r="K30" s="307">
        <f t="shared" ca="1" si="15"/>
        <v>2.540885960037925</v>
      </c>
      <c r="L30" s="304">
        <f t="shared" ca="1" si="0"/>
        <v>2.5505906498747111</v>
      </c>
      <c r="M30" s="306">
        <f t="shared" ca="1" si="16"/>
        <v>1.4835298641951802</v>
      </c>
      <c r="N30" s="304">
        <f t="shared" ca="1" si="17"/>
        <v>85</v>
      </c>
      <c r="P30" s="310">
        <f t="shared" ca="1" si="18"/>
        <v>2</v>
      </c>
      <c r="Q30" s="304">
        <f t="shared" ca="1" si="19"/>
        <v>849.72222222222217</v>
      </c>
      <c r="R30" s="306">
        <f t="shared" ca="1" si="20"/>
        <v>0.42643599331293958</v>
      </c>
      <c r="S30" s="307">
        <f t="shared" ca="1" si="21"/>
        <v>8.4120196806210732</v>
      </c>
      <c r="T30" s="304">
        <f t="shared" ca="1" si="1"/>
        <v>82.521913066892736</v>
      </c>
      <c r="U30" s="311">
        <f t="shared" ca="1" si="2"/>
        <v>7.1922586263027117</v>
      </c>
      <c r="V30" s="306">
        <f t="shared" ca="1" si="3"/>
        <v>1.2246887810084937</v>
      </c>
      <c r="W30" s="304">
        <f t="shared" ca="1" si="4"/>
        <v>1.5242522387684256</v>
      </c>
      <c r="Y30" s="314" t="str">
        <f t="shared" ca="1" si="22"/>
        <v/>
      </c>
      <c r="Z30" s="315" t="str">
        <f t="shared" ca="1" si="23"/>
        <v/>
      </c>
      <c r="AA30" s="316" t="str">
        <f t="shared" ca="1" si="24"/>
        <v/>
      </c>
      <c r="AC30" s="310" t="e">
        <f t="shared" ca="1" si="25"/>
        <v>#N/A</v>
      </c>
      <c r="AD30" s="323" t="e">
        <f t="shared" ca="1" si="26"/>
        <v>#N/A</v>
      </c>
      <c r="AE30" s="324">
        <f t="shared" ca="1" si="5"/>
        <v>2.540885960037925</v>
      </c>
      <c r="AG30" s="306">
        <f t="shared" ca="1" si="27"/>
        <v>91.073886081307478</v>
      </c>
      <c r="AH30" s="304">
        <f t="shared" ca="1" si="28"/>
        <v>100.84655606958751</v>
      </c>
    </row>
    <row r="31" spans="1:34" x14ac:dyDescent="0.2">
      <c r="A31" s="347">
        <f t="shared" ca="1" si="6"/>
        <v>0.01</v>
      </c>
      <c r="B31" s="304">
        <f t="shared" ca="1" si="7"/>
        <v>0.27000000000000007</v>
      </c>
      <c r="D31" s="306">
        <f t="shared" ca="1" si="8"/>
        <v>7.9184458003891587</v>
      </c>
      <c r="E31" s="307">
        <f t="shared" ca="1" si="9"/>
        <v>90.513212856612313</v>
      </c>
      <c r="F31" s="304">
        <f t="shared" ca="1" si="10"/>
        <v>90.858920781176508</v>
      </c>
      <c r="G31" s="306">
        <f t="shared" ca="1" si="11"/>
        <v>1.9701355654933608</v>
      </c>
      <c r="H31" s="307">
        <f t="shared" ca="1" si="12"/>
        <v>22.519996139703586</v>
      </c>
      <c r="I31" s="304">
        <f t="shared" ca="1" si="13"/>
        <v>22.606009384203269</v>
      </c>
      <c r="J31" s="306">
        <f t="shared" ca="1" si="14"/>
        <v>0.24159173818474491</v>
      </c>
      <c r="K31" s="307">
        <f t="shared" ca="1" si="15"/>
        <v>2.7615602607921304</v>
      </c>
      <c r="L31" s="304">
        <f t="shared" ca="1" si="0"/>
        <v>2.7721077976776849</v>
      </c>
      <c r="M31" s="306">
        <f t="shared" ca="1" si="16"/>
        <v>1.4835298641951802</v>
      </c>
      <c r="N31" s="304">
        <f t="shared" ca="1" si="17"/>
        <v>85</v>
      </c>
      <c r="P31" s="310">
        <f t="shared" ca="1" si="18"/>
        <v>2</v>
      </c>
      <c r="Q31" s="304">
        <f t="shared" ca="1" si="19"/>
        <v>847.61111111111109</v>
      </c>
      <c r="R31" s="306">
        <f t="shared" ca="1" si="20"/>
        <v>0.42537652500657203</v>
      </c>
      <c r="S31" s="307">
        <f t="shared" ca="1" si="21"/>
        <v>8.4077659153710069</v>
      </c>
      <c r="T31" s="304">
        <f t="shared" ca="1" si="1"/>
        <v>82.480183629789579</v>
      </c>
      <c r="U31" s="311">
        <f t="shared" ca="1" si="2"/>
        <v>7.1886216662175446</v>
      </c>
      <c r="V31" s="306">
        <f t="shared" ca="1" si="3"/>
        <v>1.2246617555721717</v>
      </c>
      <c r="W31" s="304">
        <f t="shared" ca="1" si="4"/>
        <v>1.6545460773782497</v>
      </c>
      <c r="Y31" s="314" t="str">
        <f t="shared" ca="1" si="22"/>
        <v/>
      </c>
      <c r="Z31" s="315" t="str">
        <f t="shared" ca="1" si="23"/>
        <v/>
      </c>
      <c r="AA31" s="316" t="str">
        <f t="shared" ca="1" si="24"/>
        <v/>
      </c>
      <c r="AC31" s="310" t="e">
        <f t="shared" ca="1" si="25"/>
        <v>#N/A</v>
      </c>
      <c r="AD31" s="323" t="e">
        <f t="shared" ca="1" si="26"/>
        <v>#N/A</v>
      </c>
      <c r="AE31" s="324">
        <f t="shared" ca="1" si="5"/>
        <v>2.7615602607921304</v>
      </c>
      <c r="AG31" s="306">
        <f t="shared" ca="1" si="27"/>
        <v>90.858920780146789</v>
      </c>
      <c r="AH31" s="304">
        <f t="shared" ca="1" si="28"/>
        <v>100.63159076842682</v>
      </c>
    </row>
    <row r="32" spans="1:34" x14ac:dyDescent="0.2">
      <c r="A32" s="347">
        <f t="shared" ca="1" si="6"/>
        <v>0.01</v>
      </c>
      <c r="B32" s="304">
        <f t="shared" ca="1" si="7"/>
        <v>0.28000000000000008</v>
      </c>
      <c r="D32" s="306">
        <f t="shared" ca="1" si="8"/>
        <v>7.8996288254748741</v>
      </c>
      <c r="E32" s="307">
        <f t="shared" ca="1" si="9"/>
        <v>90.298123987330243</v>
      </c>
      <c r="F32" s="304">
        <f t="shared" ca="1" si="10"/>
        <v>90.643010382552603</v>
      </c>
      <c r="G32" s="306">
        <f t="shared" ca="1" si="11"/>
        <v>2.0491318537481096</v>
      </c>
      <c r="H32" s="307">
        <f t="shared" ca="1" si="12"/>
        <v>23.422977379576889</v>
      </c>
      <c r="I32" s="304">
        <f t="shared" ca="1" si="13"/>
        <v>23.512439488028793</v>
      </c>
      <c r="J32" s="306">
        <f t="shared" ca="1" si="14"/>
        <v>0.26168807528095228</v>
      </c>
      <c r="K32" s="307">
        <f t="shared" ca="1" si="15"/>
        <v>2.9912751283885326</v>
      </c>
      <c r="L32" s="304">
        <f t="shared" ca="1" si="0"/>
        <v>3.0027000420388448</v>
      </c>
      <c r="M32" s="306">
        <f t="shared" ca="1" si="16"/>
        <v>1.4835298641951802</v>
      </c>
      <c r="N32" s="304">
        <f t="shared" ca="1" si="17"/>
        <v>85</v>
      </c>
      <c r="P32" s="310">
        <f t="shared" ca="1" si="18"/>
        <v>2</v>
      </c>
      <c r="Q32" s="304">
        <f t="shared" ca="1" si="19"/>
        <v>845.5</v>
      </c>
      <c r="R32" s="306">
        <f t="shared" ca="1" si="20"/>
        <v>0.42431705670020448</v>
      </c>
      <c r="S32" s="307">
        <f t="shared" ca="1" si="21"/>
        <v>8.4035227448040057</v>
      </c>
      <c r="T32" s="304">
        <f t="shared" ca="1" si="1"/>
        <v>82.438558126527298</v>
      </c>
      <c r="U32" s="311">
        <f t="shared" ca="1" si="2"/>
        <v>7.1849937645634752</v>
      </c>
      <c r="V32" s="306">
        <f t="shared" ca="1" si="3"/>
        <v>1.2246336235934041</v>
      </c>
      <c r="W32" s="304">
        <f t="shared" ca="1" si="4"/>
        <v>1.7898492930620498</v>
      </c>
      <c r="Y32" s="314" t="str">
        <f t="shared" ca="1" si="22"/>
        <v/>
      </c>
      <c r="Z32" s="315" t="str">
        <f t="shared" ca="1" si="23"/>
        <v/>
      </c>
      <c r="AA32" s="316" t="str">
        <f t="shared" ca="1" si="24"/>
        <v/>
      </c>
      <c r="AC32" s="310" t="e">
        <f t="shared" ca="1" si="25"/>
        <v>#N/A</v>
      </c>
      <c r="AD32" s="323" t="e">
        <f t="shared" ca="1" si="26"/>
        <v>#N/A</v>
      </c>
      <c r="AE32" s="324">
        <f t="shared" ca="1" si="5"/>
        <v>2.9912751283885326</v>
      </c>
      <c r="AG32" s="306">
        <f t="shared" ca="1" si="27"/>
        <v>90.643010381524533</v>
      </c>
      <c r="AH32" s="304">
        <f t="shared" ca="1" si="28"/>
        <v>100.41568036980456</v>
      </c>
    </row>
    <row r="33" spans="1:34" x14ac:dyDescent="0.2">
      <c r="A33" s="347">
        <f t="shared" ca="1" si="6"/>
        <v>0.01</v>
      </c>
      <c r="B33" s="304">
        <f t="shared" ca="1" si="7"/>
        <v>0.29000000000000009</v>
      </c>
      <c r="D33" s="306">
        <f t="shared" ca="1" si="8"/>
        <v>7.8807298434029827</v>
      </c>
      <c r="E33" s="307">
        <f t="shared" ca="1" si="9"/>
        <v>90.082097755747881</v>
      </c>
      <c r="F33" s="304">
        <f t="shared" ca="1" si="10"/>
        <v>90.426159041180227</v>
      </c>
      <c r="G33" s="306">
        <f t="shared" ca="1" si="11"/>
        <v>2.1279391521821394</v>
      </c>
      <c r="H33" s="307">
        <f t="shared" ca="1" si="12"/>
        <v>24.323798357134368</v>
      </c>
      <c r="I33" s="304">
        <f t="shared" ca="1" si="13"/>
        <v>24.416701078440596</v>
      </c>
      <c r="J33" s="306">
        <f t="shared" ca="1" si="14"/>
        <v>0.2825734303106035</v>
      </c>
      <c r="K33" s="307">
        <f t="shared" ca="1" si="15"/>
        <v>3.230009007072089</v>
      </c>
      <c r="L33" s="304">
        <f t="shared" ca="1" si="0"/>
        <v>3.2423457448711921</v>
      </c>
      <c r="M33" s="306">
        <f t="shared" ca="1" si="16"/>
        <v>1.4835298641951802</v>
      </c>
      <c r="N33" s="304">
        <f t="shared" ca="1" si="17"/>
        <v>85</v>
      </c>
      <c r="P33" s="310">
        <f t="shared" ca="1" si="18"/>
        <v>2</v>
      </c>
      <c r="Q33" s="304">
        <f t="shared" ca="1" si="19"/>
        <v>843.38888888888891</v>
      </c>
      <c r="R33" s="306">
        <f t="shared" ca="1" si="20"/>
        <v>0.42325758839383693</v>
      </c>
      <c r="S33" s="307">
        <f t="shared" ca="1" si="21"/>
        <v>8.3992901689200679</v>
      </c>
      <c r="T33" s="304">
        <f t="shared" ca="1" si="1"/>
        <v>82.397036557105864</v>
      </c>
      <c r="U33" s="311">
        <f t="shared" ca="1" si="2"/>
        <v>7.1813749213405016</v>
      </c>
      <c r="V33" s="306">
        <f t="shared" ca="1" si="3"/>
        <v>1.2246043877881843</v>
      </c>
      <c r="W33" s="304">
        <f t="shared" ca="1" si="4"/>
        <v>1.9301216735833453</v>
      </c>
      <c r="Y33" s="314" t="str">
        <f t="shared" ca="1" si="22"/>
        <v/>
      </c>
      <c r="Z33" s="315" t="str">
        <f t="shared" ca="1" si="23"/>
        <v/>
      </c>
      <c r="AA33" s="316" t="str">
        <f t="shared" ca="1" si="24"/>
        <v/>
      </c>
      <c r="AC33" s="310" t="e">
        <f t="shared" ca="1" si="25"/>
        <v>#N/A</v>
      </c>
      <c r="AD33" s="323" t="e">
        <f t="shared" ca="1" si="26"/>
        <v>#N/A</v>
      </c>
      <c r="AE33" s="324">
        <f t="shared" ca="1" si="5"/>
        <v>3.230009007072089</v>
      </c>
      <c r="AG33" s="306">
        <f t="shared" ca="1" si="27"/>
        <v>90.426159040153792</v>
      </c>
      <c r="AH33" s="304">
        <f t="shared" ca="1" si="28"/>
        <v>100.19882902843382</v>
      </c>
    </row>
    <row r="34" spans="1:34" x14ac:dyDescent="0.2">
      <c r="A34" s="347">
        <f t="shared" ca="1" si="6"/>
        <v>0.01</v>
      </c>
      <c r="B34" s="304">
        <f t="shared" ca="1" si="7"/>
        <v>0.3000000000000001</v>
      </c>
      <c r="D34" s="306">
        <f t="shared" ca="1" si="8"/>
        <v>7.8617492191626495</v>
      </c>
      <c r="E34" s="307">
        <f t="shared" ca="1" si="9"/>
        <v>89.86513833372338</v>
      </c>
      <c r="F34" s="304">
        <f t="shared" ca="1" si="10"/>
        <v>90.208370944853243</v>
      </c>
      <c r="G34" s="306">
        <f t="shared" ca="1" si="11"/>
        <v>2.2065566443737659</v>
      </c>
      <c r="H34" s="307">
        <f t="shared" ca="1" si="12"/>
        <v>25.222449740471603</v>
      </c>
      <c r="I34" s="304">
        <f t="shared" ca="1" si="13"/>
        <v>25.318784787889133</v>
      </c>
      <c r="J34" s="306">
        <f t="shared" ca="1" si="14"/>
        <v>0.30424590929338302</v>
      </c>
      <c r="K34" s="307">
        <f t="shared" ca="1" si="15"/>
        <v>3.4777402475601189</v>
      </c>
      <c r="L34" s="304">
        <f t="shared" ca="1" si="0"/>
        <v>3.4910231742028404</v>
      </c>
      <c r="M34" s="306">
        <f t="shared" ca="1" si="16"/>
        <v>1.4835298641951802</v>
      </c>
      <c r="N34" s="304">
        <f t="shared" ca="1" si="17"/>
        <v>85</v>
      </c>
      <c r="P34" s="310">
        <f t="shared" ca="1" si="18"/>
        <v>2</v>
      </c>
      <c r="Q34" s="304">
        <f t="shared" ca="1" si="19"/>
        <v>841.27777777777771</v>
      </c>
      <c r="R34" s="306">
        <f t="shared" ca="1" si="20"/>
        <v>0.42219812008746938</v>
      </c>
      <c r="S34" s="307">
        <f t="shared" ca="1" si="21"/>
        <v>8.3950681877191933</v>
      </c>
      <c r="T34" s="304">
        <f t="shared" ca="1" si="1"/>
        <v>82.355618921525291</v>
      </c>
      <c r="U34" s="311">
        <f t="shared" ca="1" si="2"/>
        <v>7.1777651365486257</v>
      </c>
      <c r="V34" s="306">
        <f t="shared" ca="1" si="3"/>
        <v>1.2245740508866929</v>
      </c>
      <c r="W34" s="304">
        <f t="shared" ca="1" si="4"/>
        <v>2.0753228623132878</v>
      </c>
      <c r="Y34" s="314" t="str">
        <f t="shared" ca="1" si="22"/>
        <v/>
      </c>
      <c r="Z34" s="315" t="str">
        <f t="shared" ca="1" si="23"/>
        <v/>
      </c>
      <c r="AA34" s="316" t="str">
        <f t="shared" ca="1" si="24"/>
        <v/>
      </c>
      <c r="AC34" s="310" t="e">
        <f t="shared" ca="1" si="25"/>
        <v>#N/A</v>
      </c>
      <c r="AD34" s="323" t="e">
        <f t="shared" ca="1" si="26"/>
        <v>#N/A</v>
      </c>
      <c r="AE34" s="324">
        <f t="shared" ca="1" si="5"/>
        <v>3.4777402475601189</v>
      </c>
      <c r="AG34" s="306">
        <f t="shared" ca="1" si="27"/>
        <v>90.208370943828442</v>
      </c>
      <c r="AH34" s="304">
        <f t="shared" ca="1" si="28"/>
        <v>99.981040932108471</v>
      </c>
    </row>
    <row r="35" spans="1:34" x14ac:dyDescent="0.2">
      <c r="A35" s="347">
        <f t="shared" ca="1" si="6"/>
        <v>0.01</v>
      </c>
      <c r="B35" s="304">
        <f t="shared" ca="1" si="7"/>
        <v>0.31000000000000011</v>
      </c>
      <c r="D35" s="306">
        <f t="shared" ca="1" si="8"/>
        <v>7.8426873205968786</v>
      </c>
      <c r="E35" s="307">
        <f t="shared" ca="1" si="9"/>
        <v>89.647249925734556</v>
      </c>
      <c r="F35" s="304">
        <f t="shared" ca="1" si="10"/>
        <v>89.989650314109824</v>
      </c>
      <c r="G35" s="306">
        <f t="shared" ca="1" si="11"/>
        <v>2.2849835175797346</v>
      </c>
      <c r="H35" s="307">
        <f t="shared" ca="1" si="12"/>
        <v>26.118922239728949</v>
      </c>
      <c r="I35" s="304">
        <f t="shared" ca="1" si="13"/>
        <v>26.218681291030229</v>
      </c>
      <c r="J35" s="306">
        <f t="shared" ca="1" si="14"/>
        <v>0.32670361010315052</v>
      </c>
      <c r="K35" s="307">
        <f t="shared" ca="1" si="15"/>
        <v>3.7344471074611216</v>
      </c>
      <c r="L35" s="304">
        <f t="shared" ca="1" si="0"/>
        <v>3.7487105045974367</v>
      </c>
      <c r="M35" s="306">
        <f t="shared" ca="1" si="16"/>
        <v>1.4835298641951802</v>
      </c>
      <c r="N35" s="304">
        <f t="shared" ca="1" si="17"/>
        <v>85</v>
      </c>
      <c r="P35" s="310">
        <f t="shared" ca="1" si="18"/>
        <v>2</v>
      </c>
      <c r="Q35" s="304">
        <f t="shared" ca="1" si="19"/>
        <v>839.16666666666663</v>
      </c>
      <c r="R35" s="306">
        <f t="shared" ca="1" si="20"/>
        <v>0.42113865178110182</v>
      </c>
      <c r="S35" s="307">
        <f t="shared" ca="1" si="21"/>
        <v>8.390856801201382</v>
      </c>
      <c r="T35" s="304">
        <f t="shared" ca="1" si="1"/>
        <v>82.314305219785567</v>
      </c>
      <c r="U35" s="311">
        <f t="shared" ca="1" si="2"/>
        <v>7.1741644101878439</v>
      </c>
      <c r="V35" s="306">
        <f t="shared" ca="1" si="3"/>
        <v>1.2245426156332224</v>
      </c>
      <c r="W35" s="304">
        <f t="shared" ca="1" si="4"/>
        <v>2.2254123613201151</v>
      </c>
      <c r="Y35" s="314" t="str">
        <f t="shared" ca="1" si="22"/>
        <v>Sortie de rampe</v>
      </c>
      <c r="Z35" s="315" t="str">
        <f t="shared" ca="1" si="23"/>
        <v/>
      </c>
      <c r="AA35" s="316" t="str">
        <f t="shared" ca="1" si="24"/>
        <v/>
      </c>
      <c r="AC35" s="310" t="e">
        <f t="shared" ca="1" si="25"/>
        <v>#N/A</v>
      </c>
      <c r="AD35" s="323" t="e">
        <f t="shared" ca="1" si="26"/>
        <v>#N/A</v>
      </c>
      <c r="AE35" s="324">
        <f t="shared" ca="1" si="5"/>
        <v>3.7344471074611216</v>
      </c>
      <c r="AG35" s="306">
        <f t="shared" ca="1" si="27"/>
        <v>89.989650313086656</v>
      </c>
      <c r="AH35" s="304">
        <f t="shared" ca="1" si="28"/>
        <v>99.762320301366685</v>
      </c>
    </row>
    <row r="36" spans="1:34" x14ac:dyDescent="0.2">
      <c r="A36" s="347">
        <f t="shared" ca="1" si="6"/>
        <v>0.01</v>
      </c>
      <c r="B36" s="304">
        <f t="shared" ca="1" si="7"/>
        <v>0.32000000000000012</v>
      </c>
      <c r="D36" s="306">
        <f t="shared" ca="1" si="8"/>
        <v>7.8235445183729357</v>
      </c>
      <c r="E36" s="307">
        <f t="shared" ca="1" si="9"/>
        <v>89.428436768540848</v>
      </c>
      <c r="F36" s="304">
        <f t="shared" ca="1" si="10"/>
        <v>89.770001401893012</v>
      </c>
      <c r="G36" s="306">
        <f t="shared" ca="1" si="11"/>
        <v>2.3632189627634639</v>
      </c>
      <c r="H36" s="307">
        <f t="shared" ca="1" si="12"/>
        <v>27.013206607414357</v>
      </c>
      <c r="I36" s="304">
        <f t="shared" ca="1" si="13"/>
        <v>27.11638130504916</v>
      </c>
      <c r="J36" s="306">
        <f t="shared" ca="1" si="14"/>
        <v>0.34994462250486652</v>
      </c>
      <c r="K36" s="307">
        <f t="shared" ca="1" si="15"/>
        <v>4.000107751696838</v>
      </c>
      <c r="L36" s="304">
        <f t="shared" ca="1" si="0"/>
        <v>4.0153858175778332</v>
      </c>
      <c r="M36" s="306">
        <f t="shared" ca="1" si="16"/>
        <v>1.4835298641951802</v>
      </c>
      <c r="N36" s="304">
        <f t="shared" ca="1" si="17"/>
        <v>85</v>
      </c>
      <c r="P36" s="310">
        <f t="shared" ca="1" si="18"/>
        <v>2</v>
      </c>
      <c r="Q36" s="304">
        <f t="shared" ca="1" si="19"/>
        <v>837.05555555555554</v>
      </c>
      <c r="R36" s="306">
        <f t="shared" ca="1" si="20"/>
        <v>0.42007918347473427</v>
      </c>
      <c r="S36" s="307">
        <f t="shared" ca="1" si="21"/>
        <v>8.386656009366634</v>
      </c>
      <c r="T36" s="304">
        <f t="shared" ca="1" si="1"/>
        <v>82.273095451886689</v>
      </c>
      <c r="U36" s="311">
        <f t="shared" ca="1" si="2"/>
        <v>0</v>
      </c>
      <c r="V36" s="306">
        <f t="shared" ca="1" si="3"/>
        <v>1.2245100847860995</v>
      </c>
      <c r="W36" s="304">
        <f t="shared" ca="1" si="4"/>
        <v>2.3803495344664953</v>
      </c>
      <c r="Y36" s="314" t="str">
        <f t="shared" ca="1" si="22"/>
        <v/>
      </c>
      <c r="Z36" s="315" t="str">
        <f t="shared" ca="1" si="23"/>
        <v/>
      </c>
      <c r="AA36" s="316" t="str">
        <f t="shared" ca="1" si="24"/>
        <v/>
      </c>
      <c r="AC36" s="310" t="e">
        <f t="shared" ca="1" si="25"/>
        <v>#N/A</v>
      </c>
      <c r="AD36" s="323" t="e">
        <f t="shared" ca="1" si="26"/>
        <v>#N/A</v>
      </c>
      <c r="AE36" s="324">
        <f t="shared" ca="1" si="5"/>
        <v>4.000107751696838</v>
      </c>
      <c r="AG36" s="306">
        <f t="shared" ca="1" si="27"/>
        <v>89.770001400871465</v>
      </c>
      <c r="AH36" s="304">
        <f t="shared" ca="1" si="28"/>
        <v>99.542671389151494</v>
      </c>
    </row>
    <row r="37" spans="1:34" x14ac:dyDescent="0.2">
      <c r="A37" s="347">
        <f t="shared" ca="1" si="6"/>
        <v>0.01</v>
      </c>
      <c r="B37" s="304">
        <f t="shared" ca="1" si="7"/>
        <v>0.33000000000000013</v>
      </c>
      <c r="D37" s="306">
        <f t="shared" ca="1" si="8"/>
        <v>8.656491264321323</v>
      </c>
      <c r="E37" s="307">
        <f t="shared" ca="1" si="9"/>
        <v>89.13414790958943</v>
      </c>
      <c r="F37" s="304">
        <f t="shared" ca="1" si="10"/>
        <v>89.553510062854812</v>
      </c>
      <c r="G37" s="306">
        <f t="shared" ca="1" si="11"/>
        <v>2.449783875406677</v>
      </c>
      <c r="H37" s="307">
        <f t="shared" ca="1" si="12"/>
        <v>27.904548086510253</v>
      </c>
      <c r="I37" s="304">
        <f t="shared" ca="1" si="13"/>
        <v>28.011876855158519</v>
      </c>
      <c r="J37" s="306">
        <f t="shared" ca="1" si="14"/>
        <v>0.37400963669571724</v>
      </c>
      <c r="K37" s="307">
        <f t="shared" ca="1" si="15"/>
        <v>4.274696525166461</v>
      </c>
      <c r="L37" s="304">
        <f t="shared" ca="1" si="0"/>
        <v>4.2910271020597719</v>
      </c>
      <c r="M37" s="306">
        <f t="shared" ca="1" si="16"/>
        <v>1.4832292740632309</v>
      </c>
      <c r="N37" s="304">
        <f t="shared" ca="1" si="17"/>
        <v>84.982777454076029</v>
      </c>
      <c r="P37" s="310">
        <f t="shared" ca="1" si="18"/>
        <v>2</v>
      </c>
      <c r="Q37" s="304">
        <f t="shared" ca="1" si="19"/>
        <v>834.94444444444446</v>
      </c>
      <c r="R37" s="306">
        <f t="shared" ca="1" si="20"/>
        <v>0.41901971516836672</v>
      </c>
      <c r="S37" s="307">
        <f t="shared" ca="1" si="21"/>
        <v>8.3824658122149511</v>
      </c>
      <c r="T37" s="304">
        <f t="shared" ca="1" si="1"/>
        <v>82.231989617828674</v>
      </c>
      <c r="U37" s="311">
        <f t="shared" ca="1" si="2"/>
        <v>0</v>
      </c>
      <c r="V37" s="306">
        <f t="shared" ca="1" si="3"/>
        <v>1.2244764615740615</v>
      </c>
      <c r="W37" s="304">
        <f t="shared" ca="1" si="4"/>
        <v>2.540093840911668</v>
      </c>
      <c r="Y37" s="314" t="str">
        <f t="shared" ca="1" si="22"/>
        <v/>
      </c>
      <c r="Z37" s="315" t="str">
        <f t="shared" ca="1" si="23"/>
        <v/>
      </c>
      <c r="AA37" s="316" t="str">
        <f t="shared" ca="1" si="24"/>
        <v/>
      </c>
      <c r="AC37" s="310" t="e">
        <f t="shared" ca="1" si="25"/>
        <v>#N/A</v>
      </c>
      <c r="AD37" s="323" t="e">
        <f t="shared" ca="1" si="26"/>
        <v>#N/A</v>
      </c>
      <c r="AE37" s="324">
        <f t="shared" ca="1" si="5"/>
        <v>4.274696525166461</v>
      </c>
      <c r="AG37" s="306">
        <f t="shared" ca="1" si="27"/>
        <v>89.549428492188966</v>
      </c>
      <c r="AH37" s="304">
        <f t="shared" ca="1" si="28"/>
        <v>99.322098480468995</v>
      </c>
    </row>
    <row r="38" spans="1:34" x14ac:dyDescent="0.2">
      <c r="A38" s="347">
        <f t="shared" ca="1" si="6"/>
        <v>0.01</v>
      </c>
      <c r="B38" s="304">
        <f t="shared" ca="1" si="7"/>
        <v>0.34000000000000014</v>
      </c>
      <c r="D38" s="306">
        <f t="shared" ca="1" si="8"/>
        <v>8.6668618295487825</v>
      </c>
      <c r="E38" s="307">
        <f t="shared" ca="1" si="9"/>
        <v>88.91089742677255</v>
      </c>
      <c r="F38" s="304">
        <f t="shared" ca="1" si="10"/>
        <v>89.33231316386339</v>
      </c>
      <c r="G38" s="306">
        <f t="shared" ca="1" si="11"/>
        <v>2.5364524937021646</v>
      </c>
      <c r="H38" s="307">
        <f t="shared" ca="1" si="12"/>
        <v>28.793657060777978</v>
      </c>
      <c r="I38" s="304">
        <f t="shared" ca="1" si="13"/>
        <v>28.905160061596224</v>
      </c>
      <c r="J38" s="306">
        <f t="shared" ca="1" si="14"/>
        <v>0.39894081854126145</v>
      </c>
      <c r="K38" s="307">
        <f t="shared" ca="1" si="15"/>
        <v>4.5581875509029022</v>
      </c>
      <c r="L38" s="304">
        <f t="shared" ca="1" si="0"/>
        <v>4.5756122569449182</v>
      </c>
      <c r="M38" s="306">
        <f t="shared" ca="1" si="16"/>
        <v>1.4829324636056471</v>
      </c>
      <c r="N38" s="304">
        <f t="shared" ca="1" si="17"/>
        <v>84.965771467541131</v>
      </c>
      <c r="P38" s="310">
        <f t="shared" ca="1" si="18"/>
        <v>2</v>
      </c>
      <c r="Q38" s="304">
        <f t="shared" ca="1" si="19"/>
        <v>832.83333333333326</v>
      </c>
      <c r="R38" s="306">
        <f t="shared" ca="1" si="20"/>
        <v>0.41796024686199912</v>
      </c>
      <c r="S38" s="307">
        <f t="shared" ca="1" si="21"/>
        <v>8.3782862097463315</v>
      </c>
      <c r="T38" s="304">
        <f t="shared" ca="1" si="1"/>
        <v>82.19098771761152</v>
      </c>
      <c r="U38" s="311">
        <f t="shared" ca="1" si="2"/>
        <v>0</v>
      </c>
      <c r="V38" s="306">
        <f t="shared" ca="1" si="3"/>
        <v>1.2244417492555943</v>
      </c>
      <c r="W38" s="304">
        <f t="shared" ca="1" si="4"/>
        <v>2.7046046470522667</v>
      </c>
      <c r="Y38" s="314" t="str">
        <f t="shared" ca="1" si="22"/>
        <v/>
      </c>
      <c r="Z38" s="315" t="str">
        <f t="shared" ca="1" si="23"/>
        <v/>
      </c>
      <c r="AA38" s="316" t="str">
        <f t="shared" ca="1" si="24"/>
        <v/>
      </c>
      <c r="AC38" s="310" t="e">
        <f t="shared" ca="1" si="25"/>
        <v>#N/A</v>
      </c>
      <c r="AD38" s="323" t="e">
        <f t="shared" ca="1" si="26"/>
        <v>#N/A</v>
      </c>
      <c r="AE38" s="324">
        <f t="shared" ca="1" si="5"/>
        <v>4.5581875509029022</v>
      </c>
      <c r="AG38" s="306">
        <f t="shared" ca="1" si="27"/>
        <v>89.328193321675286</v>
      </c>
      <c r="AH38" s="304">
        <f t="shared" ca="1" si="28"/>
        <v>99.100605864544733</v>
      </c>
    </row>
    <row r="39" spans="1:34" x14ac:dyDescent="0.2">
      <c r="A39" s="347">
        <f t="shared" ca="1" si="6"/>
        <v>0.01</v>
      </c>
      <c r="B39" s="304">
        <f t="shared" ca="1" si="7"/>
        <v>0.35000000000000014</v>
      </c>
      <c r="D39" s="306">
        <f t="shared" ca="1" si="8"/>
        <v>8.6766463494170623</v>
      </c>
      <c r="E39" s="307">
        <f t="shared" ca="1" si="9"/>
        <v>88.686770605040991</v>
      </c>
      <c r="F39" s="304">
        <f t="shared" ca="1" si="10"/>
        <v>89.110198474832359</v>
      </c>
      <c r="G39" s="306">
        <f t="shared" ca="1" si="11"/>
        <v>2.6232189571963351</v>
      </c>
      <c r="H39" s="307">
        <f t="shared" ca="1" si="12"/>
        <v>29.680524766828388</v>
      </c>
      <c r="I39" s="304">
        <f t="shared" ca="1" si="13"/>
        <v>29.796221708997059</v>
      </c>
      <c r="J39" s="306">
        <f t="shared" ca="1" si="14"/>
        <v>0.42473917579575393</v>
      </c>
      <c r="K39" s="307">
        <f t="shared" ca="1" si="15"/>
        <v>4.8505584600409337</v>
      </c>
      <c r="L39" s="304">
        <f t="shared" ca="1" si="0"/>
        <v>4.8691190929910855</v>
      </c>
      <c r="M39" s="306">
        <f t="shared" ca="1" si="16"/>
        <v>1.4826435558700848</v>
      </c>
      <c r="N39" s="304">
        <f t="shared" ca="1" si="17"/>
        <v>84.949218273624737</v>
      </c>
      <c r="P39" s="310">
        <f t="shared" ca="1" si="18"/>
        <v>2</v>
      </c>
      <c r="Q39" s="304">
        <f t="shared" ca="1" si="19"/>
        <v>830.72222222222217</v>
      </c>
      <c r="R39" s="306">
        <f t="shared" ca="1" si="20"/>
        <v>0.41690077855563162</v>
      </c>
      <c r="S39" s="307">
        <f t="shared" ca="1" si="21"/>
        <v>8.3741172019607752</v>
      </c>
      <c r="T39" s="304">
        <f t="shared" ca="1" si="1"/>
        <v>82.150089751235214</v>
      </c>
      <c r="U39" s="311">
        <f t="shared" ca="1" si="2"/>
        <v>0</v>
      </c>
      <c r="V39" s="306">
        <f t="shared" ca="1" si="3"/>
        <v>1.2244059506621969</v>
      </c>
      <c r="W39" s="304">
        <f t="shared" ca="1" si="4"/>
        <v>2.8738409538753515</v>
      </c>
      <c r="Y39" s="314" t="str">
        <f t="shared" ca="1" si="22"/>
        <v/>
      </c>
      <c r="Z39" s="315" t="str">
        <f t="shared" ca="1" si="23"/>
        <v/>
      </c>
      <c r="AA39" s="316" t="str">
        <f t="shared" ca="1" si="24"/>
        <v/>
      </c>
      <c r="AC39" s="310" t="e">
        <f t="shared" ca="1" si="25"/>
        <v>#N/A</v>
      </c>
      <c r="AD39" s="323" t="e">
        <f t="shared" ca="1" si="26"/>
        <v>#N/A</v>
      </c>
      <c r="AE39" s="324">
        <f t="shared" ca="1" si="5"/>
        <v>4.8505584600409337</v>
      </c>
      <c r="AG39" s="306">
        <f t="shared" ca="1" si="27"/>
        <v>89.106040389009792</v>
      </c>
      <c r="AH39" s="304">
        <f t="shared" ca="1" si="28"/>
        <v>98.878197857237055</v>
      </c>
    </row>
    <row r="40" spans="1:34" x14ac:dyDescent="0.2">
      <c r="A40" s="347">
        <f t="shared" ca="1" si="6"/>
        <v>0.01</v>
      </c>
      <c r="B40" s="304">
        <f t="shared" ca="1" si="7"/>
        <v>0.36000000000000015</v>
      </c>
      <c r="D40" s="306">
        <f t="shared" ca="1" si="8"/>
        <v>8.685441761836703</v>
      </c>
      <c r="E40" s="307">
        <f t="shared" ca="1" si="9"/>
        <v>88.461807854942151</v>
      </c>
      <c r="F40" s="304">
        <f t="shared" ca="1" si="10"/>
        <v>88.887166382796579</v>
      </c>
      <c r="G40" s="306">
        <f t="shared" ca="1" si="11"/>
        <v>2.7100733748147023</v>
      </c>
      <c r="H40" s="307">
        <f t="shared" ca="1" si="12"/>
        <v>30.56514284537781</v>
      </c>
      <c r="I40" s="304">
        <f t="shared" ca="1" si="13"/>
        <v>30.685052629174841</v>
      </c>
      <c r="J40" s="306">
        <f t="shared" ca="1" si="14"/>
        <v>0.45140563745580914</v>
      </c>
      <c r="K40" s="307">
        <f t="shared" ca="1" si="15"/>
        <v>5.1517867981019645</v>
      </c>
      <c r="L40" s="304">
        <f t="shared" ca="1" si="0"/>
        <v>5.1715253323003818</v>
      </c>
      <c r="M40" s="306">
        <f t="shared" ca="1" si="16"/>
        <v>1.4823620966462694</v>
      </c>
      <c r="N40" s="304">
        <f t="shared" ca="1" si="17"/>
        <v>84.933091847995087</v>
      </c>
      <c r="P40" s="310">
        <f t="shared" ca="1" si="18"/>
        <v>2</v>
      </c>
      <c r="Q40" s="304">
        <f t="shared" ca="1" si="19"/>
        <v>828.61111111111109</v>
      </c>
      <c r="R40" s="306">
        <f t="shared" ca="1" si="20"/>
        <v>0.41584131024926407</v>
      </c>
      <c r="S40" s="307">
        <f t="shared" ca="1" si="21"/>
        <v>8.3699587888582823</v>
      </c>
      <c r="T40" s="304">
        <f t="shared" ca="1" si="1"/>
        <v>82.109295718699755</v>
      </c>
      <c r="U40" s="311">
        <f t="shared" ca="1" si="2"/>
        <v>0</v>
      </c>
      <c r="V40" s="306">
        <f t="shared" ca="1" si="3"/>
        <v>1.2243690686384257</v>
      </c>
      <c r="W40" s="304">
        <f t="shared" ca="1" si="4"/>
        <v>3.0477616356740729</v>
      </c>
      <c r="Y40" s="314" t="str">
        <f t="shared" ca="1" si="22"/>
        <v/>
      </c>
      <c r="Z40" s="315" t="str">
        <f t="shared" ca="1" si="23"/>
        <v/>
      </c>
      <c r="AA40" s="316" t="str">
        <f t="shared" ca="1" si="24"/>
        <v/>
      </c>
      <c r="AC40" s="310" t="e">
        <f t="shared" ca="1" si="25"/>
        <v>#N/A</v>
      </c>
      <c r="AD40" s="323" t="e">
        <f t="shared" ca="1" si="26"/>
        <v>#N/A</v>
      </c>
      <c r="AE40" s="324">
        <f t="shared" ca="1" si="5"/>
        <v>5.1517867981019645</v>
      </c>
      <c r="AG40" s="306">
        <f t="shared" ca="1" si="27"/>
        <v>88.882970475367827</v>
      </c>
      <c r="AH40" s="304">
        <f t="shared" ca="1" si="28"/>
        <v>98.654878833623471</v>
      </c>
    </row>
    <row r="41" spans="1:34" x14ac:dyDescent="0.2">
      <c r="A41" s="347">
        <f t="shared" ca="1" si="6"/>
        <v>0.01</v>
      </c>
      <c r="B41" s="304">
        <f t="shared" ca="1" si="7"/>
        <v>0.37000000000000016</v>
      </c>
      <c r="D41" s="306">
        <f t="shared" ca="1" si="8"/>
        <v>8.6932975388843428</v>
      </c>
      <c r="E41" s="307">
        <f t="shared" ca="1" si="9"/>
        <v>88.236009950390738</v>
      </c>
      <c r="F41" s="304">
        <f t="shared" ca="1" si="10"/>
        <v>88.663221653992622</v>
      </c>
      <c r="G41" s="306">
        <f t="shared" ca="1" si="11"/>
        <v>2.7970063502035458</v>
      </c>
      <c r="H41" s="307">
        <f t="shared" ca="1" si="12"/>
        <v>31.447502944881716</v>
      </c>
      <c r="I41" s="304">
        <f t="shared" ca="1" si="13"/>
        <v>31.571643701135095</v>
      </c>
      <c r="J41" s="306">
        <f t="shared" ca="1" si="14"/>
        <v>0.47894103608090038</v>
      </c>
      <c r="K41" s="307">
        <f t="shared" ca="1" si="15"/>
        <v>5.4618500270532619</v>
      </c>
      <c r="L41" s="304">
        <f t="shared" ca="1" si="0"/>
        <v>5.48280860819197</v>
      </c>
      <c r="M41" s="306">
        <f t="shared" ca="1" si="16"/>
        <v>1.4820876701777763</v>
      </c>
      <c r="N41" s="304">
        <f t="shared" ca="1" si="17"/>
        <v>84.917368369563746</v>
      </c>
      <c r="P41" s="310">
        <f t="shared" ca="1" si="18"/>
        <v>2</v>
      </c>
      <c r="Q41" s="304">
        <f t="shared" ca="1" si="19"/>
        <v>826.5</v>
      </c>
      <c r="R41" s="306">
        <f t="shared" ca="1" si="20"/>
        <v>0.41478184194289652</v>
      </c>
      <c r="S41" s="307">
        <f t="shared" ca="1" si="21"/>
        <v>8.3658109704388526</v>
      </c>
      <c r="T41" s="304">
        <f t="shared" ca="1" si="1"/>
        <v>82.068605620005144</v>
      </c>
      <c r="U41" s="311">
        <f t="shared" ca="1" si="2"/>
        <v>0</v>
      </c>
      <c r="V41" s="306">
        <f t="shared" ca="1" si="3"/>
        <v>1.2243311060416104</v>
      </c>
      <c r="W41" s="304">
        <f t="shared" ca="1" si="4"/>
        <v>3.2263254432225978</v>
      </c>
      <c r="Y41" s="314" t="str">
        <f t="shared" ca="1" si="22"/>
        <v/>
      </c>
      <c r="Z41" s="315" t="str">
        <f t="shared" ca="1" si="23"/>
        <v/>
      </c>
      <c r="AA41" s="316" t="str">
        <f t="shared" ca="1" si="24"/>
        <v/>
      </c>
      <c r="AC41" s="310" t="e">
        <f t="shared" ca="1" si="25"/>
        <v>#N/A</v>
      </c>
      <c r="AD41" s="323" t="e">
        <f t="shared" ca="1" si="26"/>
        <v>#N/A</v>
      </c>
      <c r="AE41" s="324">
        <f t="shared" ca="1" si="5"/>
        <v>5.4618500270532619</v>
      </c>
      <c r="AG41" s="306">
        <f t="shared" ca="1" si="27"/>
        <v>88.658988313180586</v>
      </c>
      <c r="AH41" s="304">
        <f t="shared" ca="1" si="28"/>
        <v>98.430653199558179</v>
      </c>
    </row>
    <row r="42" spans="1:34" x14ac:dyDescent="0.2">
      <c r="A42" s="347">
        <f t="shared" ca="1" si="6"/>
        <v>0.01</v>
      </c>
      <c r="B42" s="304">
        <f t="shared" ca="1" si="7"/>
        <v>0.38000000000000017</v>
      </c>
      <c r="D42" s="306">
        <f t="shared" ca="1" si="8"/>
        <v>8.700259028157685</v>
      </c>
      <c r="E42" s="307">
        <f t="shared" ca="1" si="9"/>
        <v>88.009377989367621</v>
      </c>
      <c r="F42" s="304">
        <f t="shared" ca="1" si="10"/>
        <v>88.438369055701301</v>
      </c>
      <c r="G42" s="306">
        <f t="shared" ca="1" si="11"/>
        <v>2.8840089404851228</v>
      </c>
      <c r="H42" s="307">
        <f t="shared" ca="1" si="12"/>
        <v>32.32759672477539</v>
      </c>
      <c r="I42" s="304">
        <f t="shared" ca="1" si="13"/>
        <v>32.455985851126236</v>
      </c>
      <c r="J42" s="306">
        <f t="shared" ca="1" si="14"/>
        <v>0.5073461125343437</v>
      </c>
      <c r="K42" s="307">
        <f t="shared" ca="1" si="15"/>
        <v>5.7807255254015475</v>
      </c>
      <c r="L42" s="304">
        <f t="shared" ca="1" si="0"/>
        <v>5.8029464651961682</v>
      </c>
      <c r="M42" s="306">
        <f t="shared" ca="1" si="16"/>
        <v>1.4818198949073325</v>
      </c>
      <c r="N42" s="304">
        <f t="shared" ca="1" si="17"/>
        <v>84.902025976709339</v>
      </c>
      <c r="P42" s="310">
        <f t="shared" ca="1" si="18"/>
        <v>2</v>
      </c>
      <c r="Q42" s="304">
        <f t="shared" ca="1" si="19"/>
        <v>824.38888888888891</v>
      </c>
      <c r="R42" s="306">
        <f t="shared" ca="1" si="20"/>
        <v>0.41372237363652897</v>
      </c>
      <c r="S42" s="307">
        <f t="shared" ca="1" si="21"/>
        <v>8.361673746702488</v>
      </c>
      <c r="T42" s="304">
        <f t="shared" ca="1" si="1"/>
        <v>82.028019455151409</v>
      </c>
      <c r="U42" s="311">
        <f t="shared" ca="1" si="2"/>
        <v>0</v>
      </c>
      <c r="V42" s="306">
        <f t="shared" ca="1" si="3"/>
        <v>1.2242920657418201</v>
      </c>
      <c r="W42" s="304">
        <f t="shared" ca="1" si="4"/>
        <v>3.40949100695499</v>
      </c>
      <c r="Y42" s="314" t="str">
        <f t="shared" ca="1" si="22"/>
        <v/>
      </c>
      <c r="Z42" s="315" t="str">
        <f t="shared" ca="1" si="23"/>
        <v/>
      </c>
      <c r="AA42" s="316" t="str">
        <f t="shared" ca="1" si="24"/>
        <v/>
      </c>
      <c r="AC42" s="310" t="e">
        <f t="shared" ca="1" si="25"/>
        <v>#N/A</v>
      </c>
      <c r="AD42" s="323" t="e">
        <f t="shared" ca="1" si="26"/>
        <v>#N/A</v>
      </c>
      <c r="AE42" s="324">
        <f t="shared" ca="1" si="5"/>
        <v>5.7807255254015475</v>
      </c>
      <c r="AG42" s="306">
        <f t="shared" ca="1" si="27"/>
        <v>88.434098638571626</v>
      </c>
      <c r="AH42" s="304">
        <f t="shared" ca="1" si="28"/>
        <v>98.205525391312989</v>
      </c>
    </row>
    <row r="43" spans="1:34" x14ac:dyDescent="0.2">
      <c r="A43" s="347">
        <f t="shared" ca="1" si="6"/>
        <v>0.01</v>
      </c>
      <c r="B43" s="304">
        <f t="shared" ca="1" si="7"/>
        <v>0.39000000000000018</v>
      </c>
      <c r="D43" s="306">
        <f t="shared" ca="1" si="8"/>
        <v>8.7063679076190859</v>
      </c>
      <c r="E43" s="307">
        <f t="shared" ca="1" si="9"/>
        <v>87.781913361992679</v>
      </c>
      <c r="F43" s="304">
        <f t="shared" ca="1" si="10"/>
        <v>88.212613359061123</v>
      </c>
      <c r="G43" s="306">
        <f t="shared" ca="1" si="11"/>
        <v>2.9710726195613137</v>
      </c>
      <c r="H43" s="307">
        <f t="shared" ca="1" si="12"/>
        <v>33.20541585839532</v>
      </c>
      <c r="I43" s="304">
        <f t="shared" ca="1" si="13"/>
        <v>33.338070052714187</v>
      </c>
      <c r="J43" s="306">
        <f t="shared" ca="1" si="14"/>
        <v>0.53662152033457589</v>
      </c>
      <c r="K43" s="307">
        <f t="shared" ca="1" si="15"/>
        <v>6.108390588317401</v>
      </c>
      <c r="L43" s="304">
        <f t="shared" ca="1" si="0"/>
        <v>6.1319163591434283</v>
      </c>
      <c r="M43" s="306">
        <f t="shared" ca="1" si="16"/>
        <v>1.4815584197972551</v>
      </c>
      <c r="N43" s="304">
        <f t="shared" ca="1" si="17"/>
        <v>84.887044556454185</v>
      </c>
      <c r="P43" s="310">
        <f t="shared" ca="1" si="18"/>
        <v>2</v>
      </c>
      <c r="Q43" s="304">
        <f t="shared" ca="1" si="19"/>
        <v>822.27777777777771</v>
      </c>
      <c r="R43" s="306">
        <f t="shared" ca="1" si="20"/>
        <v>0.41266290533016137</v>
      </c>
      <c r="S43" s="307">
        <f t="shared" ca="1" si="21"/>
        <v>8.3575471176491867</v>
      </c>
      <c r="T43" s="304">
        <f t="shared" ca="1" si="1"/>
        <v>81.987537224138521</v>
      </c>
      <c r="U43" s="311">
        <f t="shared" ca="1" si="2"/>
        <v>0</v>
      </c>
      <c r="V43" s="306">
        <f t="shared" ca="1" si="3"/>
        <v>1.2242519506218204</v>
      </c>
      <c r="W43" s="304">
        <f t="shared" ca="1" si="4"/>
        <v>3.5972168401456415</v>
      </c>
      <c r="Y43" s="314" t="str">
        <f t="shared" ca="1" si="22"/>
        <v/>
      </c>
      <c r="Z43" s="315" t="str">
        <f t="shared" ca="1" si="23"/>
        <v/>
      </c>
      <c r="AA43" s="316" t="str">
        <f t="shared" ca="1" si="24"/>
        <v/>
      </c>
      <c r="AC43" s="310" t="e">
        <f t="shared" ca="1" si="25"/>
        <v>#N/A</v>
      </c>
      <c r="AD43" s="323" t="e">
        <f t="shared" ca="1" si="26"/>
        <v>#N/A</v>
      </c>
      <c r="AE43" s="324">
        <f t="shared" ca="1" si="5"/>
        <v>6.108390588317401</v>
      </c>
      <c r="AG43" s="306">
        <f t="shared" ca="1" si="27"/>
        <v>88.208306193880546</v>
      </c>
      <c r="AH43" s="304">
        <f t="shared" ca="1" si="28"/>
        <v>97.979499875216277</v>
      </c>
    </row>
    <row r="44" spans="1:34" x14ac:dyDescent="0.2">
      <c r="A44" s="347">
        <f t="shared" ca="1" si="6"/>
        <v>0.01</v>
      </c>
      <c r="B44" s="304">
        <f t="shared" ca="1" si="7"/>
        <v>0.40000000000000019</v>
      </c>
      <c r="D44" s="306">
        <f t="shared" ca="1" si="8"/>
        <v>8.7116625791154441</v>
      </c>
      <c r="E44" s="307">
        <f t="shared" ca="1" si="9"/>
        <v>87.553617722767356</v>
      </c>
      <c r="F44" s="304">
        <f t="shared" ca="1" si="10"/>
        <v>87.985959341458809</v>
      </c>
      <c r="G44" s="306">
        <f t="shared" ca="1" si="11"/>
        <v>3.0581892453524682</v>
      </c>
      <c r="H44" s="307">
        <f t="shared" ca="1" si="12"/>
        <v>34.080952035622992</v>
      </c>
      <c r="I44" s="304">
        <f t="shared" ca="1" si="13"/>
        <v>34.217887326876628</v>
      </c>
      <c r="J44" s="306">
        <f t="shared" ca="1" si="14"/>
        <v>0.56676782965914474</v>
      </c>
      <c r="K44" s="307">
        <f t="shared" ca="1" si="15"/>
        <v>6.4448224277874928</v>
      </c>
      <c r="L44" s="304">
        <f t="shared" ca="1" si="0"/>
        <v>6.4696956573280335</v>
      </c>
      <c r="M44" s="306">
        <f t="shared" ca="1" si="16"/>
        <v>1.4813029211339326</v>
      </c>
      <c r="N44" s="304">
        <f t="shared" ca="1" si="17"/>
        <v>84.872405561374578</v>
      </c>
      <c r="P44" s="310">
        <f t="shared" ca="1" si="18"/>
        <v>2</v>
      </c>
      <c r="Q44" s="304">
        <f t="shared" ca="1" si="19"/>
        <v>820.16666666666663</v>
      </c>
      <c r="R44" s="306">
        <f t="shared" ca="1" si="20"/>
        <v>0.41160343702379387</v>
      </c>
      <c r="S44" s="307">
        <f t="shared" ca="1" si="21"/>
        <v>8.3534310832789487</v>
      </c>
      <c r="T44" s="304">
        <f t="shared" ca="1" si="1"/>
        <v>81.947158926966495</v>
      </c>
      <c r="U44" s="311">
        <f t="shared" ca="1" si="2"/>
        <v>0</v>
      </c>
      <c r="V44" s="306">
        <f t="shared" ca="1" si="3"/>
        <v>1.2242107635770261</v>
      </c>
      <c r="W44" s="304">
        <f t="shared" ca="1" si="4"/>
        <v>3.789461342091148</v>
      </c>
      <c r="Y44" s="314" t="str">
        <f t="shared" ca="1" si="22"/>
        <v/>
      </c>
      <c r="Z44" s="315" t="str">
        <f t="shared" ca="1" si="23"/>
        <v/>
      </c>
      <c r="AA44" s="316" t="str">
        <f t="shared" ca="1" si="24"/>
        <v/>
      </c>
      <c r="AC44" s="310" t="e">
        <f t="shared" ca="1" si="25"/>
        <v>#N/A</v>
      </c>
      <c r="AD44" s="323" t="e">
        <f t="shared" ca="1" si="26"/>
        <v>#N/A</v>
      </c>
      <c r="AE44" s="324">
        <f t="shared" ca="1" si="5"/>
        <v>6.4448224277874928</v>
      </c>
      <c r="AG44" s="306">
        <f t="shared" ca="1" si="27"/>
        <v>87.981615729802257</v>
      </c>
      <c r="AH44" s="304">
        <f t="shared" ca="1" si="28"/>
        <v>97.752581147290115</v>
      </c>
    </row>
    <row r="45" spans="1:34" x14ac:dyDescent="0.2">
      <c r="A45" s="347">
        <f t="shared" ca="1" si="6"/>
        <v>0.01</v>
      </c>
      <c r="B45" s="304">
        <f t="shared" ca="1" si="7"/>
        <v>0.4100000000000002</v>
      </c>
      <c r="D45" s="306">
        <f t="shared" ca="1" si="8"/>
        <v>8.7161785102694314</v>
      </c>
      <c r="E45" s="307">
        <f t="shared" ca="1" si="9"/>
        <v>87.324492966338099</v>
      </c>
      <c r="F45" s="304">
        <f t="shared" ca="1" si="10"/>
        <v>87.758411788562555</v>
      </c>
      <c r="G45" s="306">
        <f t="shared" ca="1" si="11"/>
        <v>3.1453510304551626</v>
      </c>
      <c r="H45" s="307">
        <f t="shared" ca="1" si="12"/>
        <v>34.954196965286371</v>
      </c>
      <c r="I45" s="304">
        <f t="shared" ca="1" si="13"/>
        <v>35.095428742114272</v>
      </c>
      <c r="J45" s="306">
        <f t="shared" ca="1" si="14"/>
        <v>0.59778553103818288</v>
      </c>
      <c r="K45" s="307">
        <f t="shared" ca="1" si="15"/>
        <v>6.78999817279204</v>
      </c>
      <c r="L45" s="304">
        <f t="shared" ca="1" si="0"/>
        <v>6.8162616387311479</v>
      </c>
      <c r="M45" s="306">
        <f t="shared" ca="1" si="16"/>
        <v>1.4810530997416753</v>
      </c>
      <c r="N45" s="304">
        <f t="shared" ca="1" si="17"/>
        <v>84.858091849966144</v>
      </c>
      <c r="P45" s="310">
        <f t="shared" ca="1" si="18"/>
        <v>2</v>
      </c>
      <c r="Q45" s="304">
        <f t="shared" ca="1" si="19"/>
        <v>818.05555555555554</v>
      </c>
      <c r="R45" s="306">
        <f t="shared" ca="1" si="20"/>
        <v>0.41054396871742632</v>
      </c>
      <c r="S45" s="307">
        <f t="shared" ca="1" si="21"/>
        <v>8.349325643591774</v>
      </c>
      <c r="T45" s="304">
        <f t="shared" ca="1" si="1"/>
        <v>81.906884563635302</v>
      </c>
      <c r="U45" s="311">
        <f t="shared" ca="1" si="2"/>
        <v>0</v>
      </c>
      <c r="V45" s="306">
        <f t="shared" ca="1" si="3"/>
        <v>1.2241685075154554</v>
      </c>
      <c r="W45" s="304">
        <f t="shared" ca="1" si="4"/>
        <v>3.9861828012936544</v>
      </c>
      <c r="Y45" s="314" t="str">
        <f t="shared" ca="1" si="22"/>
        <v/>
      </c>
      <c r="Z45" s="315" t="str">
        <f t="shared" ca="1" si="23"/>
        <v/>
      </c>
      <c r="AA45" s="316" t="str">
        <f t="shared" ca="1" si="24"/>
        <v/>
      </c>
      <c r="AC45" s="310" t="e">
        <f t="shared" ca="1" si="25"/>
        <v>#N/A</v>
      </c>
      <c r="AD45" s="323" t="e">
        <f t="shared" ca="1" si="26"/>
        <v>#N/A</v>
      </c>
      <c r="AE45" s="324">
        <f t="shared" ca="1" si="5"/>
        <v>6.78999817279204</v>
      </c>
      <c r="AG45" s="306">
        <f t="shared" ca="1" si="27"/>
        <v>87.754032007201431</v>
      </c>
      <c r="AH45" s="304">
        <f t="shared" ca="1" si="28"/>
        <v>97.524773732885265</v>
      </c>
    </row>
    <row r="46" spans="1:34" x14ac:dyDescent="0.2">
      <c r="A46" s="347">
        <f t="shared" ca="1" si="6"/>
        <v>0.01</v>
      </c>
      <c r="B46" s="304">
        <f t="shared" ca="1" si="7"/>
        <v>0.42000000000000021</v>
      </c>
      <c r="D46" s="306">
        <f t="shared" ca="1" si="8"/>
        <v>8.7199485326914132</v>
      </c>
      <c r="E46" s="307">
        <f t="shared" ca="1" si="9"/>
        <v>87.094541206247584</v>
      </c>
      <c r="F46" s="304">
        <f t="shared" ca="1" si="10"/>
        <v>87.529975496052472</v>
      </c>
      <c r="G46" s="306">
        <f t="shared" ca="1" si="11"/>
        <v>3.2325505157820769</v>
      </c>
      <c r="H46" s="307">
        <f t="shared" ca="1" si="12"/>
        <v>35.825142377348847</v>
      </c>
      <c r="I46" s="304">
        <f t="shared" ca="1" si="13"/>
        <v>35.970685414576117</v>
      </c>
      <c r="J46" s="306">
        <f t="shared" ca="1" si="14"/>
        <v>0.62967503876936903</v>
      </c>
      <c r="K46" s="307">
        <f t="shared" ca="1" si="15"/>
        <v>7.1438948695052158</v>
      </c>
      <c r="L46" s="304">
        <f t="shared" ca="1" si="0"/>
        <v>7.1715914942913574</v>
      </c>
      <c r="M46" s="306">
        <f t="shared" ca="1" si="16"/>
        <v>1.4808086785444032</v>
      </c>
      <c r="N46" s="304">
        <f t="shared" ca="1" si="17"/>
        <v>84.844087546938923</v>
      </c>
      <c r="P46" s="310">
        <f t="shared" ca="1" si="18"/>
        <v>2</v>
      </c>
      <c r="Q46" s="304">
        <f t="shared" ca="1" si="19"/>
        <v>815.94444444444434</v>
      </c>
      <c r="R46" s="306">
        <f t="shared" ca="1" si="20"/>
        <v>0.40948450041105872</v>
      </c>
      <c r="S46" s="307">
        <f t="shared" ca="1" si="21"/>
        <v>8.3452307985876626</v>
      </c>
      <c r="T46" s="304">
        <f t="shared" ca="1" si="1"/>
        <v>81.866714134144971</v>
      </c>
      <c r="U46" s="311">
        <f t="shared" ca="1" si="2"/>
        <v>0</v>
      </c>
      <c r="V46" s="306">
        <f t="shared" ca="1" si="3"/>
        <v>1.2241251853576773</v>
      </c>
      <c r="W46" s="304">
        <f t="shared" ca="1" si="4"/>
        <v>4.187339398645392</v>
      </c>
      <c r="Y46" s="314" t="str">
        <f t="shared" ca="1" si="22"/>
        <v/>
      </c>
      <c r="Z46" s="315" t="str">
        <f t="shared" ca="1" si="23"/>
        <v/>
      </c>
      <c r="AA46" s="316" t="str">
        <f t="shared" ca="1" si="24"/>
        <v/>
      </c>
      <c r="AC46" s="310" t="e">
        <f t="shared" ca="1" si="25"/>
        <v>#N/A</v>
      </c>
      <c r="AD46" s="323" t="e">
        <f t="shared" ca="1" si="26"/>
        <v>#N/A</v>
      </c>
      <c r="AE46" s="324">
        <f t="shared" ca="1" si="5"/>
        <v>7.1438948695052158</v>
      </c>
      <c r="AG46" s="306">
        <f t="shared" ca="1" si="27"/>
        <v>87.525559798651784</v>
      </c>
      <c r="AH46" s="304">
        <f t="shared" ca="1" si="28"/>
        <v>97.296082186314791</v>
      </c>
    </row>
    <row r="47" spans="1:34" x14ac:dyDescent="0.2">
      <c r="A47" s="347">
        <f t="shared" ca="1" si="6"/>
        <v>0.01</v>
      </c>
      <c r="B47" s="304">
        <f t="shared" ca="1" si="7"/>
        <v>0.43000000000000022</v>
      </c>
      <c r="D47" s="306">
        <f t="shared" ca="1" si="8"/>
        <v>8.7230031030648192</v>
      </c>
      <c r="E47" s="307">
        <f t="shared" ca="1" si="9"/>
        <v>86.863764756232086</v>
      </c>
      <c r="F47" s="304">
        <f t="shared" ca="1" si="10"/>
        <v>87.300655271092353</v>
      </c>
      <c r="G47" s="306">
        <f t="shared" ca="1" si="11"/>
        <v>3.3197805468127251</v>
      </c>
      <c r="H47" s="307">
        <f t="shared" ca="1" si="12"/>
        <v>36.69378002491117</v>
      </c>
      <c r="I47" s="304">
        <f t="shared" ca="1" si="13"/>
        <v>36.843648508196992</v>
      </c>
      <c r="J47" s="306">
        <f t="shared" ca="1" si="14"/>
        <v>0.66243669408234307</v>
      </c>
      <c r="K47" s="307">
        <f t="shared" ca="1" si="15"/>
        <v>7.5064894815165157</v>
      </c>
      <c r="L47" s="304">
        <f t="shared" ca="1" si="0"/>
        <v>7.5356623272135037</v>
      </c>
      <c r="M47" s="306">
        <f t="shared" ca="1" si="16"/>
        <v>1.4805694004241787</v>
      </c>
      <c r="N47" s="304">
        <f t="shared" ca="1" si="17"/>
        <v>84.830377920520235</v>
      </c>
      <c r="P47" s="310">
        <f t="shared" ca="1" si="18"/>
        <v>2</v>
      </c>
      <c r="Q47" s="304">
        <f t="shared" ca="1" si="19"/>
        <v>813.83333333333326</v>
      </c>
      <c r="R47" s="306">
        <f t="shared" ca="1" si="20"/>
        <v>0.40842503210469117</v>
      </c>
      <c r="S47" s="307">
        <f t="shared" ca="1" si="21"/>
        <v>8.3411465482666163</v>
      </c>
      <c r="T47" s="304">
        <f t="shared" ca="1" si="1"/>
        <v>81.826647638495515</v>
      </c>
      <c r="U47" s="311">
        <f t="shared" ca="1" si="2"/>
        <v>0</v>
      </c>
      <c r="V47" s="306">
        <f t="shared" ca="1" si="3"/>
        <v>1.2240808000367573</v>
      </c>
      <c r="W47" s="304">
        <f t="shared" ca="1" si="4"/>
        <v>4.3928892106143689</v>
      </c>
      <c r="Y47" s="314" t="str">
        <f t="shared" ca="1" si="22"/>
        <v/>
      </c>
      <c r="Z47" s="315" t="str">
        <f t="shared" ca="1" si="23"/>
        <v/>
      </c>
      <c r="AA47" s="316" t="str">
        <f t="shared" ca="1" si="24"/>
        <v/>
      </c>
      <c r="AC47" s="310" t="e">
        <f t="shared" ca="1" si="25"/>
        <v>#N/A</v>
      </c>
      <c r="AD47" s="323" t="e">
        <f t="shared" ca="1" si="26"/>
        <v>#N/A</v>
      </c>
      <c r="AE47" s="324">
        <f t="shared" ca="1" si="5"/>
        <v>7.5064894815165157</v>
      </c>
      <c r="AG47" s="306">
        <f t="shared" ca="1" si="27"/>
        <v>87.296203889739971</v>
      </c>
      <c r="AH47" s="304">
        <f t="shared" ca="1" si="28"/>
        <v>97.06651109048569</v>
      </c>
    </row>
    <row r="48" spans="1:34" x14ac:dyDescent="0.2">
      <c r="A48" s="347">
        <f t="shared" ca="1" si="6"/>
        <v>0.01</v>
      </c>
      <c r="B48" s="304">
        <f t="shared" ca="1" si="7"/>
        <v>0.44000000000000022</v>
      </c>
      <c r="D48" s="306">
        <f t="shared" ca="1" si="8"/>
        <v>8.7253705325365267</v>
      </c>
      <c r="E48" s="307">
        <f t="shared" ca="1" si="9"/>
        <v>86.632166113698361</v>
      </c>
      <c r="F48" s="304">
        <f t="shared" ca="1" si="10"/>
        <v>87.070455933579922</v>
      </c>
      <c r="G48" s="306">
        <f t="shared" ca="1" si="11"/>
        <v>3.4070342521380903</v>
      </c>
      <c r="H48" s="307">
        <f t="shared" ca="1" si="12"/>
        <v>37.560101686048156</v>
      </c>
      <c r="I48" s="304">
        <f t="shared" ca="1" si="13"/>
        <v>37.714309234845068</v>
      </c>
      <c r="J48" s="306">
        <f t="shared" ca="1" si="14"/>
        <v>0.69607076807709711</v>
      </c>
      <c r="K48" s="307">
        <f t="shared" ca="1" si="15"/>
        <v>7.8777588900713127</v>
      </c>
      <c r="L48" s="304">
        <f t="shared" ca="1" si="0"/>
        <v>7.9084511533086577</v>
      </c>
      <c r="M48" s="306">
        <f t="shared" ca="1" si="16"/>
        <v>1.4803350263341266</v>
      </c>
      <c r="N48" s="304">
        <f t="shared" ca="1" si="17"/>
        <v>84.816949274333027</v>
      </c>
      <c r="P48" s="310">
        <f t="shared" ca="1" si="18"/>
        <v>2</v>
      </c>
      <c r="Q48" s="304">
        <f t="shared" ca="1" si="19"/>
        <v>811.72222222222217</v>
      </c>
      <c r="R48" s="306">
        <f t="shared" ca="1" si="20"/>
        <v>0.40736556379832362</v>
      </c>
      <c r="S48" s="307">
        <f t="shared" ca="1" si="21"/>
        <v>8.3370728926286333</v>
      </c>
      <c r="T48" s="304">
        <f t="shared" ca="1" si="1"/>
        <v>81.786685076686894</v>
      </c>
      <c r="U48" s="311">
        <f t="shared" ca="1" si="2"/>
        <v>0</v>
      </c>
      <c r="V48" s="306">
        <f t="shared" ca="1" si="3"/>
        <v>1.2240353544982003</v>
      </c>
      <c r="W48" s="304">
        <f t="shared" ca="1" si="4"/>
        <v>4.6027902124309197</v>
      </c>
      <c r="Y48" s="314" t="str">
        <f t="shared" ca="1" si="22"/>
        <v/>
      </c>
      <c r="Z48" s="315" t="str">
        <f t="shared" ca="1" si="23"/>
        <v/>
      </c>
      <c r="AA48" s="316" t="str">
        <f t="shared" ca="1" si="24"/>
        <v/>
      </c>
      <c r="AC48" s="310" t="e">
        <f t="shared" ca="1" si="25"/>
        <v>#N/A</v>
      </c>
      <c r="AD48" s="323" t="e">
        <f t="shared" ca="1" si="26"/>
        <v>#N/A</v>
      </c>
      <c r="AE48" s="324">
        <f t="shared" ca="1" si="5"/>
        <v>7.8777588900713127</v>
      </c>
      <c r="AG48" s="306">
        <f t="shared" ca="1" si="27"/>
        <v>87.06596908016806</v>
      </c>
      <c r="AH48" s="304">
        <f t="shared" ca="1" si="28"/>
        <v>96.836065056528639</v>
      </c>
    </row>
    <row r="49" spans="1:34" x14ac:dyDescent="0.2">
      <c r="A49" s="347">
        <f t="shared" ca="1" si="6"/>
        <v>0.01</v>
      </c>
      <c r="B49" s="304">
        <f t="shared" ca="1" si="7"/>
        <v>0.45000000000000023</v>
      </c>
      <c r="D49" s="306">
        <f t="shared" ca="1" si="8"/>
        <v>8.727077188936315</v>
      </c>
      <c r="E49" s="307">
        <f t="shared" ca="1" si="9"/>
        <v>86.399747945074083</v>
      </c>
      <c r="F49" s="304">
        <f t="shared" ca="1" si="10"/>
        <v>86.83938231720667</v>
      </c>
      <c r="G49" s="306">
        <f t="shared" ca="1" si="11"/>
        <v>3.4943050240274536</v>
      </c>
      <c r="H49" s="307">
        <f t="shared" ca="1" si="12"/>
        <v>38.424099165498895</v>
      </c>
      <c r="I49" s="304">
        <f t="shared" ca="1" si="13"/>
        <v>38.58265885447809</v>
      </c>
      <c r="J49" s="306">
        <f t="shared" ca="1" si="14"/>
        <v>0.73057746445792482</v>
      </c>
      <c r="K49" s="307">
        <f t="shared" ca="1" si="15"/>
        <v>8.2576798943290477</v>
      </c>
      <c r="L49" s="304">
        <f t="shared" ca="1" si="0"/>
        <v>8.2899349013595973</v>
      </c>
      <c r="M49" s="306">
        <f t="shared" ca="1" si="16"/>
        <v>1.4801053336302139</v>
      </c>
      <c r="N49" s="304">
        <f t="shared" ca="1" si="17"/>
        <v>84.803788851813891</v>
      </c>
      <c r="P49" s="310">
        <f t="shared" ca="1" si="18"/>
        <v>2</v>
      </c>
      <c r="Q49" s="304">
        <f t="shared" ca="1" si="19"/>
        <v>809.61111111111109</v>
      </c>
      <c r="R49" s="306">
        <f t="shared" ca="1" si="20"/>
        <v>0.40630609549195612</v>
      </c>
      <c r="S49" s="307">
        <f t="shared" ca="1" si="21"/>
        <v>8.3330098316737136</v>
      </c>
      <c r="T49" s="304">
        <f t="shared" ca="1" si="1"/>
        <v>81.746826448719133</v>
      </c>
      <c r="U49" s="311">
        <f t="shared" ca="1" si="2"/>
        <v>0</v>
      </c>
      <c r="V49" s="306">
        <f t="shared" ca="1" si="3"/>
        <v>1.223988851699894</v>
      </c>
      <c r="W49" s="304">
        <f t="shared" ca="1" si="4"/>
        <v>4.8170002812749715</v>
      </c>
      <c r="Y49" s="314" t="str">
        <f t="shared" ca="1" si="22"/>
        <v/>
      </c>
      <c r="Z49" s="315" t="str">
        <f t="shared" ca="1" si="23"/>
        <v/>
      </c>
      <c r="AA49" s="316" t="str">
        <f t="shared" ca="1" si="24"/>
        <v/>
      </c>
      <c r="AC49" s="310" t="e">
        <f t="shared" ca="1" si="25"/>
        <v>#N/A</v>
      </c>
      <c r="AD49" s="323" t="e">
        <f t="shared" ca="1" si="26"/>
        <v>#N/A</v>
      </c>
      <c r="AE49" s="324">
        <f t="shared" ca="1" si="5"/>
        <v>8.2576798943290477</v>
      </c>
      <c r="AG49" s="306">
        <f t="shared" ca="1" si="27"/>
        <v>86.834860184683052</v>
      </c>
      <c r="AH49" s="304">
        <f t="shared" ca="1" si="28"/>
        <v>96.604748723426326</v>
      </c>
    </row>
    <row r="50" spans="1:34" x14ac:dyDescent="0.2">
      <c r="A50" s="347">
        <f t="shared" ca="1" si="6"/>
        <v>0.01</v>
      </c>
      <c r="B50" s="304">
        <f t="shared" ca="1" si="7"/>
        <v>0.46000000000000024</v>
      </c>
      <c r="D50" s="306">
        <f t="shared" ca="1" si="8"/>
        <v>8.7281476756119396</v>
      </c>
      <c r="E50" s="307">
        <f t="shared" ca="1" si="9"/>
        <v>86.166513072774336</v>
      </c>
      <c r="F50" s="304">
        <f t="shared" ca="1" si="10"/>
        <v>86.607439270352984</v>
      </c>
      <c r="G50" s="306">
        <f t="shared" ca="1" si="11"/>
        <v>3.581586500783573</v>
      </c>
      <c r="H50" s="307">
        <f t="shared" ca="1" si="12"/>
        <v>39.285764296226638</v>
      </c>
      <c r="I50" s="304">
        <f t="shared" ca="1" si="13"/>
        <v>39.448688675306698</v>
      </c>
      <c r="J50" s="306">
        <f t="shared" ca="1" si="14"/>
        <v>0.76595692208197996</v>
      </c>
      <c r="K50" s="307">
        <f t="shared" ca="1" si="15"/>
        <v>8.6462292116376762</v>
      </c>
      <c r="L50" s="304">
        <f t="shared" ca="1" si="0"/>
        <v>8.6800904135073367</v>
      </c>
      <c r="M50" s="306">
        <f t="shared" ca="1" si="16"/>
        <v>1.4798801145920371</v>
      </c>
      <c r="N50" s="304">
        <f t="shared" ca="1" si="17"/>
        <v>84.790884751460354</v>
      </c>
      <c r="P50" s="310">
        <f t="shared" ca="1" si="18"/>
        <v>2</v>
      </c>
      <c r="Q50" s="304">
        <f t="shared" ca="1" si="19"/>
        <v>807.5</v>
      </c>
      <c r="R50" s="306">
        <f t="shared" ca="1" si="20"/>
        <v>0.40524662718558857</v>
      </c>
      <c r="S50" s="307">
        <f t="shared" ca="1" si="21"/>
        <v>8.3289573654018572</v>
      </c>
      <c r="T50" s="304">
        <f t="shared" ca="1" si="1"/>
        <v>81.707071754592221</v>
      </c>
      <c r="U50" s="311">
        <f t="shared" ca="1" si="2"/>
        <v>0</v>
      </c>
      <c r="V50" s="306">
        <f t="shared" ca="1" si="3"/>
        <v>1.2239412946120471</v>
      </c>
      <c r="W50" s="304">
        <f t="shared" ca="1" si="4"/>
        <v>5.0354771994637373</v>
      </c>
      <c r="Y50" s="314" t="str">
        <f t="shared" ca="1" si="22"/>
        <v/>
      </c>
      <c r="Z50" s="315" t="str">
        <f t="shared" ca="1" si="23"/>
        <v/>
      </c>
      <c r="AA50" s="316" t="str">
        <f t="shared" ca="1" si="24"/>
        <v/>
      </c>
      <c r="AC50" s="310" t="e">
        <f t="shared" ca="1" si="25"/>
        <v>#N/A</v>
      </c>
      <c r="AD50" s="323" t="e">
        <f t="shared" ca="1" si="26"/>
        <v>#N/A</v>
      </c>
      <c r="AE50" s="324">
        <f t="shared" ca="1" si="5"/>
        <v>8.6462292116376762</v>
      </c>
      <c r="AG50" s="306">
        <f t="shared" ca="1" si="27"/>
        <v>86.602882033856176</v>
      </c>
      <c r="AH50" s="304">
        <f t="shared" ca="1" si="28"/>
        <v>96.37256675763966</v>
      </c>
    </row>
    <row r="51" spans="1:34" x14ac:dyDescent="0.2">
      <c r="A51" s="347">
        <f t="shared" ca="1" si="6"/>
        <v>0.01</v>
      </c>
      <c r="B51" s="304">
        <f t="shared" ca="1" si="7"/>
        <v>0.47000000000000025</v>
      </c>
      <c r="D51" s="306">
        <f t="shared" ca="1" si="8"/>
        <v>8.7286049900626015</v>
      </c>
      <c r="E51" s="307">
        <f t="shared" ca="1" si="9"/>
        <v>85.932464463568152</v>
      </c>
      <c r="F51" s="304">
        <f t="shared" ca="1" si="10"/>
        <v>86.374631656840947</v>
      </c>
      <c r="G51" s="306">
        <f t="shared" ca="1" si="11"/>
        <v>3.668872550684199</v>
      </c>
      <c r="H51" s="307">
        <f t="shared" ca="1" si="12"/>
        <v>40.145088940862323</v>
      </c>
      <c r="I51" s="304">
        <f t="shared" ca="1" si="13"/>
        <v>40.312390053963682</v>
      </c>
      <c r="J51" s="306">
        <f t="shared" ca="1" si="14"/>
        <v>0.80220921733931883</v>
      </c>
      <c r="K51" s="307">
        <f t="shared" ca="1" si="15"/>
        <v>9.0433834778231219</v>
      </c>
      <c r="L51" s="304">
        <f t="shared" ca="1" si="0"/>
        <v>9.078894445655175</v>
      </c>
      <c r="M51" s="306">
        <f t="shared" ca="1" si="16"/>
        <v>1.4796591751074106</v>
      </c>
      <c r="N51" s="304">
        <f t="shared" ca="1" si="17"/>
        <v>84.778225851463461</v>
      </c>
      <c r="P51" s="310">
        <f t="shared" ca="1" si="18"/>
        <v>2</v>
      </c>
      <c r="Q51" s="304">
        <f t="shared" ca="1" si="19"/>
        <v>805.3888888888888</v>
      </c>
      <c r="R51" s="306">
        <f t="shared" ca="1" si="20"/>
        <v>0.40418715887922096</v>
      </c>
      <c r="S51" s="307">
        <f t="shared" ca="1" si="21"/>
        <v>8.3249154938130658</v>
      </c>
      <c r="T51" s="304">
        <f t="shared" ca="1" si="1"/>
        <v>81.667420994306184</v>
      </c>
      <c r="U51" s="311">
        <f t="shared" ca="1" si="2"/>
        <v>0</v>
      </c>
      <c r="V51" s="306">
        <f t="shared" ca="1" si="3"/>
        <v>1.2238926862171251</v>
      </c>
      <c r="W51" s="304">
        <f t="shared" ca="1" si="4"/>
        <v>5.2581786576395793</v>
      </c>
      <c r="Y51" s="314" t="str">
        <f t="shared" ca="1" si="22"/>
        <v/>
      </c>
      <c r="Z51" s="315" t="str">
        <f t="shared" ca="1" si="23"/>
        <v/>
      </c>
      <c r="AA51" s="316" t="str">
        <f t="shared" ca="1" si="24"/>
        <v/>
      </c>
      <c r="AC51" s="310" t="e">
        <f t="shared" ca="1" si="25"/>
        <v>#N/A</v>
      </c>
      <c r="AD51" s="323" t="e">
        <f t="shared" ca="1" si="26"/>
        <v>#N/A</v>
      </c>
      <c r="AE51" s="324">
        <f t="shared" ca="1" si="5"/>
        <v>9.0433834778231219</v>
      </c>
      <c r="AG51" s="306">
        <f t="shared" ca="1" si="27"/>
        <v>86.370039474732948</v>
      </c>
      <c r="AH51" s="304">
        <f t="shared" ca="1" si="28"/>
        <v>96.13952385273268</v>
      </c>
    </row>
    <row r="52" spans="1:34" x14ac:dyDescent="0.2">
      <c r="A52" s="347">
        <f t="shared" ca="1" si="6"/>
        <v>0.01</v>
      </c>
      <c r="B52" s="304">
        <f t="shared" ca="1" si="7"/>
        <v>0.48000000000000026</v>
      </c>
      <c r="D52" s="306">
        <f t="shared" ca="1" si="8"/>
        <v>8.7284706650588362</v>
      </c>
      <c r="E52" s="307">
        <f t="shared" ca="1" si="9"/>
        <v>85.6976052181613</v>
      </c>
      <c r="F52" s="304">
        <f t="shared" ca="1" si="10"/>
        <v>86.140964356562776</v>
      </c>
      <c r="G52" s="306">
        <f t="shared" ca="1" si="11"/>
        <v>3.7561572573347872</v>
      </c>
      <c r="H52" s="307">
        <f t="shared" ca="1" si="12"/>
        <v>41.002064993043938</v>
      </c>
      <c r="I52" s="304">
        <f t="shared" ca="1" si="13"/>
        <v>41.173754395678181</v>
      </c>
      <c r="J52" s="306">
        <f t="shared" ca="1" si="14"/>
        <v>0.83933436637941372</v>
      </c>
      <c r="K52" s="307">
        <f t="shared" ca="1" si="15"/>
        <v>9.4491192474926535</v>
      </c>
      <c r="L52" s="304">
        <f t="shared" ca="1" si="0"/>
        <v>9.4863236678874543</v>
      </c>
      <c r="M52" s="306">
        <f t="shared" ca="1" si="16"/>
        <v>1.4794423334994005</v>
      </c>
      <c r="N52" s="304">
        <f t="shared" ca="1" si="17"/>
        <v>84.765801742501651</v>
      </c>
      <c r="P52" s="310">
        <f t="shared" ca="1" si="18"/>
        <v>2</v>
      </c>
      <c r="Q52" s="304">
        <f t="shared" ca="1" si="19"/>
        <v>803.27777777777771</v>
      </c>
      <c r="R52" s="306">
        <f t="shared" ca="1" si="20"/>
        <v>0.40312769057285341</v>
      </c>
      <c r="S52" s="307">
        <f t="shared" ca="1" si="21"/>
        <v>8.3208842169073378</v>
      </c>
      <c r="T52" s="304">
        <f t="shared" ca="1" si="1"/>
        <v>81.627874167860995</v>
      </c>
      <c r="U52" s="311">
        <f t="shared" ca="1" si="2"/>
        <v>0</v>
      </c>
      <c r="V52" s="306">
        <f t="shared" ca="1" si="3"/>
        <v>1.2238430295097886</v>
      </c>
      <c r="W52" s="304">
        <f t="shared" ca="1" si="4"/>
        <v>5.4850622579578081</v>
      </c>
      <c r="Y52" s="314" t="str">
        <f t="shared" ca="1" si="22"/>
        <v/>
      </c>
      <c r="Z52" s="315" t="str">
        <f t="shared" ca="1" si="23"/>
        <v/>
      </c>
      <c r="AA52" s="316" t="str">
        <f t="shared" ca="1" si="24"/>
        <v/>
      </c>
      <c r="AC52" s="310" t="e">
        <f t="shared" ca="1" si="25"/>
        <v>#N/A</v>
      </c>
      <c r="AD52" s="323" t="e">
        <f t="shared" ca="1" si="26"/>
        <v>#N/A</v>
      </c>
      <c r="AE52" s="324">
        <f t="shared" ca="1" si="5"/>
        <v>9.4491192474926535</v>
      </c>
      <c r="AG52" s="306">
        <f t="shared" ca="1" si="27"/>
        <v>86.136337371370061</v>
      </c>
      <c r="AH52" s="304">
        <f t="shared" ca="1" si="28"/>
        <v>95.905624728995662</v>
      </c>
    </row>
    <row r="53" spans="1:34" x14ac:dyDescent="0.2">
      <c r="A53" s="347">
        <f t="shared" ca="1" si="6"/>
        <v>0.01</v>
      </c>
      <c r="B53" s="304">
        <f t="shared" ca="1" si="7"/>
        <v>0.49000000000000027</v>
      </c>
      <c r="D53" s="306">
        <f t="shared" ca="1" si="8"/>
        <v>8.7277648945271071</v>
      </c>
      <c r="E53" s="307">
        <f t="shared" ca="1" si="9"/>
        <v>85.46193856183956</v>
      </c>
      <c r="F53" s="304">
        <f t="shared" ca="1" si="10"/>
        <v>85.906442266001093</v>
      </c>
      <c r="G53" s="306">
        <f t="shared" ca="1" si="11"/>
        <v>3.8434349062800583</v>
      </c>
      <c r="H53" s="307">
        <f t="shared" ca="1" si="12"/>
        <v>41.856684378662337</v>
      </c>
      <c r="I53" s="304">
        <f t="shared" ca="1" si="13"/>
        <v>42.03277315445375</v>
      </c>
      <c r="J53" s="306">
        <f t="shared" ca="1" si="14"/>
        <v>0.87733232719748799</v>
      </c>
      <c r="K53" s="307">
        <f t="shared" ca="1" si="15"/>
        <v>9.8634129943511848</v>
      </c>
      <c r="L53" s="304">
        <f t="shared" ca="1" si="0"/>
        <v>9.902354664900745</v>
      </c>
      <c r="M53" s="306">
        <f t="shared" ca="1" si="16"/>
        <v>1.4792294194776332</v>
      </c>
      <c r="N53" s="304">
        <f t="shared" ca="1" si="17"/>
        <v>84.75360266765523</v>
      </c>
      <c r="P53" s="310">
        <f t="shared" ca="1" si="18"/>
        <v>2</v>
      </c>
      <c r="Q53" s="304">
        <f t="shared" ca="1" si="19"/>
        <v>801.16666666666663</v>
      </c>
      <c r="R53" s="306">
        <f t="shared" ca="1" si="20"/>
        <v>0.40206822226648586</v>
      </c>
      <c r="S53" s="307">
        <f t="shared" ca="1" si="21"/>
        <v>8.3168635346846731</v>
      </c>
      <c r="T53" s="304">
        <f t="shared" ca="1" si="1"/>
        <v>81.588431275256653</v>
      </c>
      <c r="U53" s="311">
        <f t="shared" ca="1" si="2"/>
        <v>0</v>
      </c>
      <c r="V53" s="306">
        <f t="shared" ca="1" si="3"/>
        <v>1.223792327496825</v>
      </c>
      <c r="W53" s="304">
        <f t="shared" ca="1" si="4"/>
        <v>5.7160855172740774</v>
      </c>
      <c r="Y53" s="314" t="str">
        <f t="shared" ca="1" si="22"/>
        <v/>
      </c>
      <c r="Z53" s="315" t="str">
        <f t="shared" ca="1" si="23"/>
        <v/>
      </c>
      <c r="AA53" s="316" t="str">
        <f t="shared" ca="1" si="24"/>
        <v/>
      </c>
      <c r="AC53" s="310" t="e">
        <f t="shared" ca="1" si="25"/>
        <v>#N/A</v>
      </c>
      <c r="AD53" s="323" t="e">
        <f t="shared" ca="1" si="26"/>
        <v>#N/A</v>
      </c>
      <c r="AE53" s="324">
        <f t="shared" ca="1" si="5"/>
        <v>9.8634129943511848</v>
      </c>
      <c r="AG53" s="306">
        <f t="shared" ca="1" si="27"/>
        <v>85.90178060527353</v>
      </c>
      <c r="AH53" s="304">
        <f t="shared" ca="1" si="28"/>
        <v>95.670874133066604</v>
      </c>
    </row>
    <row r="54" spans="1:34" x14ac:dyDescent="0.2">
      <c r="A54" s="347">
        <f t="shared" ca="1" si="6"/>
        <v>0.01</v>
      </c>
      <c r="B54" s="304">
        <f t="shared" ca="1" si="7"/>
        <v>0.50000000000000022</v>
      </c>
      <c r="D54" s="306">
        <f t="shared" ca="1" si="8"/>
        <v>8.7265066461378389</v>
      </c>
      <c r="E54" s="307">
        <f t="shared" ca="1" si="9"/>
        <v>85.225467836039741</v>
      </c>
      <c r="F54" s="304">
        <f t="shared" ca="1" si="10"/>
        <v>85.671070298654087</v>
      </c>
      <c r="G54" s="306">
        <f t="shared" ca="1" si="11"/>
        <v>3.9306999727414369</v>
      </c>
      <c r="H54" s="307">
        <f t="shared" ca="1" si="12"/>
        <v>42.708939057022732</v>
      </c>
      <c r="I54" s="304">
        <f t="shared" ca="1" si="13"/>
        <v>42.889437833249708</v>
      </c>
      <c r="J54" s="306">
        <f t="shared" ca="1" si="14"/>
        <v>0.91620300159259549</v>
      </c>
      <c r="K54" s="307">
        <f t="shared" ca="1" si="15"/>
        <v>10.286241111529611</v>
      </c>
      <c r="L54" s="304">
        <f t="shared" ca="1" si="0"/>
        <v>10.326963936445658</v>
      </c>
      <c r="M54" s="306">
        <f t="shared" ca="1" si="16"/>
        <v>1.4790202731983577</v>
      </c>
      <c r="N54" s="304">
        <f t="shared" ca="1" si="17"/>
        <v>84.741619468551889</v>
      </c>
      <c r="P54" s="310">
        <f t="shared" ca="1" si="18"/>
        <v>2</v>
      </c>
      <c r="Q54" s="304">
        <f t="shared" ca="1" si="19"/>
        <v>799.05555555555554</v>
      </c>
      <c r="R54" s="306">
        <f t="shared" ca="1" si="20"/>
        <v>0.40100875396011837</v>
      </c>
      <c r="S54" s="307">
        <f t="shared" ca="1" si="21"/>
        <v>8.3128534471450717</v>
      </c>
      <c r="T54" s="304">
        <f t="shared" ca="1" si="1"/>
        <v>81.549092316493159</v>
      </c>
      <c r="U54" s="311">
        <f t="shared" ca="1" si="2"/>
        <v>0</v>
      </c>
      <c r="V54" s="306">
        <f t="shared" ca="1" si="3"/>
        <v>1.2237405831970822</v>
      </c>
      <c r="W54" s="304">
        <f t="shared" ca="1" si="4"/>
        <v>5.9512058703311332</v>
      </c>
      <c r="Y54" s="314" t="str">
        <f t="shared" ca="1" si="22"/>
        <v/>
      </c>
      <c r="Z54" s="315" t="str">
        <f t="shared" ca="1" si="23"/>
        <v/>
      </c>
      <c r="AA54" s="316" t="str">
        <f t="shared" ca="1" si="24"/>
        <v/>
      </c>
      <c r="AC54" s="310" t="e">
        <f t="shared" ca="1" si="25"/>
        <v>#N/A</v>
      </c>
      <c r="AD54" s="323" t="e">
        <f t="shared" ca="1" si="26"/>
        <v>#N/A</v>
      </c>
      <c r="AE54" s="324">
        <f t="shared" ca="1" si="5"/>
        <v>10.286241111529611</v>
      </c>
      <c r="AG54" s="306">
        <f t="shared" ca="1" si="27"/>
        <v>85.666374075750667</v>
      </c>
      <c r="AH54" s="304">
        <f t="shared" ca="1" si="28"/>
        <v>95.435276837551172</v>
      </c>
    </row>
    <row r="55" spans="1:34" x14ac:dyDescent="0.2">
      <c r="A55" s="347">
        <f t="shared" ca="1" si="6"/>
        <v>0.01</v>
      </c>
      <c r="B55" s="304">
        <f t="shared" ca="1" si="7"/>
        <v>0.51000000000000023</v>
      </c>
      <c r="D55" s="306">
        <f t="shared" ca="1" si="8"/>
        <v>8.7298513291579916</v>
      </c>
      <c r="E55" s="307">
        <f t="shared" ca="1" si="9"/>
        <v>85.044018617412206</v>
      </c>
      <c r="F55" s="304">
        <f t="shared" ca="1" si="10"/>
        <v>85.490908328476394</v>
      </c>
      <c r="G55" s="306">
        <f t="shared" ca="1" si="11"/>
        <v>4.0179984860330169</v>
      </c>
      <c r="H55" s="307">
        <f t="shared" ca="1" si="12"/>
        <v>43.559379243196851</v>
      </c>
      <c r="I55" s="304">
        <f t="shared" ca="1" si="13"/>
        <v>43.744300564603982</v>
      </c>
      <c r="J55" s="306">
        <f t="shared" ca="1" si="14"/>
        <v>0.9559464938864678</v>
      </c>
      <c r="K55" s="307">
        <f t="shared" ca="1" si="15"/>
        <v>10.717582703030709</v>
      </c>
      <c r="L55" s="304">
        <f t="shared" ca="1" si="0"/>
        <v>10.760130700668876</v>
      </c>
      <c r="M55" s="306">
        <f t="shared" ca="1" si="16"/>
        <v>1.4788147470538036</v>
      </c>
      <c r="N55" s="304">
        <f t="shared" ca="1" si="17"/>
        <v>84.729843687889328</v>
      </c>
      <c r="P55" s="310">
        <f t="shared" ca="1" si="18"/>
        <v>3</v>
      </c>
      <c r="Q55" s="304">
        <f t="shared" ca="1" si="19"/>
        <v>797.41</v>
      </c>
      <c r="R55" s="306">
        <f t="shared" ca="1" si="20"/>
        <v>0.40018292629604973</v>
      </c>
      <c r="S55" s="307">
        <f t="shared" ca="1" si="21"/>
        <v>8.3088516178821106</v>
      </c>
      <c r="T55" s="304">
        <f t="shared" ca="1" si="1"/>
        <v>81.509834371423509</v>
      </c>
      <c r="U55" s="311">
        <f t="shared" ca="1" si="2"/>
        <v>0</v>
      </c>
      <c r="V55" s="306">
        <f t="shared" ca="1" si="3"/>
        <v>1.2236877992998552</v>
      </c>
      <c r="W55" s="304">
        <f t="shared" ca="1" si="4"/>
        <v>6.1905393329385108</v>
      </c>
      <c r="Y55" s="314" t="str">
        <f t="shared" ca="1" si="22"/>
        <v/>
      </c>
      <c r="Z55" s="315" t="str">
        <f t="shared" ca="1" si="23"/>
        <v/>
      </c>
      <c r="AA55" s="316" t="str">
        <f t="shared" ca="1" si="24"/>
        <v/>
      </c>
      <c r="AC55" s="310" t="e">
        <f t="shared" ca="1" si="25"/>
        <v>#N/A</v>
      </c>
      <c r="AD55" s="323" t="e">
        <f t="shared" ca="1" si="26"/>
        <v>#N/A</v>
      </c>
      <c r="AE55" s="324">
        <f t="shared" ca="1" si="5"/>
        <v>10.717582703030709</v>
      </c>
      <c r="AG55" s="306">
        <f t="shared" ca="1" si="27"/>
        <v>85.486180745286717</v>
      </c>
      <c r="AH55" s="304">
        <f t="shared" ca="1" si="28"/>
        <v>95.254895685741971</v>
      </c>
    </row>
    <row r="56" spans="1:34" x14ac:dyDescent="0.2">
      <c r="A56" s="347">
        <f t="shared" ca="1" si="6"/>
        <v>0.01</v>
      </c>
      <c r="B56" s="304">
        <f t="shared" ca="1" si="7"/>
        <v>0.52000000000000024</v>
      </c>
      <c r="D56" s="306">
        <f t="shared" ca="1" si="8"/>
        <v>8.7378580338353569</v>
      </c>
      <c r="E56" s="307">
        <f t="shared" ca="1" si="9"/>
        <v>84.917679264217924</v>
      </c>
      <c r="F56" s="304">
        <f t="shared" ca="1" si="10"/>
        <v>85.366049543363829</v>
      </c>
      <c r="G56" s="306">
        <f t="shared" ca="1" si="11"/>
        <v>4.1053770663713705</v>
      </c>
      <c r="H56" s="307">
        <f t="shared" ca="1" si="12"/>
        <v>44.408556035839027</v>
      </c>
      <c r="I56" s="304">
        <f t="shared" ca="1" si="13"/>
        <v>44.597914413628615</v>
      </c>
      <c r="J56" s="306">
        <f t="shared" ca="1" si="14"/>
        <v>0.99656337164848974</v>
      </c>
      <c r="K56" s="307">
        <f t="shared" ca="1" si="15"/>
        <v>11.157422379425888</v>
      </c>
      <c r="L56" s="304">
        <f t="shared" ca="1" si="0"/>
        <v>11.201839701880449</v>
      </c>
      <c r="M56" s="306">
        <f t="shared" ca="1" si="16"/>
        <v>1.4786127045450697</v>
      </c>
      <c r="N56" s="304">
        <f t="shared" ca="1" si="17"/>
        <v>84.718267504856641</v>
      </c>
      <c r="P56" s="310">
        <f t="shared" ca="1" si="18"/>
        <v>3</v>
      </c>
      <c r="Q56" s="304">
        <f t="shared" ca="1" si="19"/>
        <v>796.23</v>
      </c>
      <c r="R56" s="306">
        <f t="shared" ca="1" si="20"/>
        <v>0.39959073927428013</v>
      </c>
      <c r="S56" s="307">
        <f t="shared" ca="1" si="21"/>
        <v>8.3048557104893685</v>
      </c>
      <c r="T56" s="304">
        <f t="shared" ca="1" si="1"/>
        <v>81.470634519900713</v>
      </c>
      <c r="U56" s="311">
        <f t="shared" ca="1" si="2"/>
        <v>0</v>
      </c>
      <c r="V56" s="306">
        <f t="shared" ca="1" si="3"/>
        <v>1.2236339778228407</v>
      </c>
      <c r="W56" s="304">
        <f t="shared" ca="1" si="4"/>
        <v>6.4342144398812211</v>
      </c>
      <c r="Y56" s="314" t="str">
        <f t="shared" ca="1" si="22"/>
        <v/>
      </c>
      <c r="Z56" s="315" t="str">
        <f t="shared" ca="1" si="23"/>
        <v/>
      </c>
      <c r="AA56" s="316" t="str">
        <f t="shared" ca="1" si="24"/>
        <v/>
      </c>
      <c r="AC56" s="310" t="e">
        <f t="shared" ca="1" si="25"/>
        <v>#N/A</v>
      </c>
      <c r="AD56" s="323" t="e">
        <f t="shared" ca="1" si="26"/>
        <v>#N/A</v>
      </c>
      <c r="AE56" s="324">
        <f t="shared" ca="1" si="5"/>
        <v>11.157422379425888</v>
      </c>
      <c r="AG56" s="306">
        <f t="shared" ca="1" si="27"/>
        <v>85.361293875499598</v>
      </c>
      <c r="AH56" s="304">
        <f t="shared" ca="1" si="28"/>
        <v>95.129823829354393</v>
      </c>
    </row>
    <row r="57" spans="1:34" x14ac:dyDescent="0.2">
      <c r="A57" s="347">
        <f t="shared" ca="1" si="6"/>
        <v>0.01</v>
      </c>
      <c r="B57" s="304">
        <f t="shared" ca="1" si="7"/>
        <v>0.53000000000000025</v>
      </c>
      <c r="D57" s="306">
        <f t="shared" ca="1" si="8"/>
        <v>8.7454181483250633</v>
      </c>
      <c r="E57" s="307">
        <f t="shared" ca="1" si="9"/>
        <v>84.790662891121016</v>
      </c>
      <c r="F57" s="304">
        <f t="shared" ca="1" si="10"/>
        <v>85.240476606508835</v>
      </c>
      <c r="G57" s="306">
        <f t="shared" ca="1" si="11"/>
        <v>4.1928312478546212</v>
      </c>
      <c r="H57" s="307">
        <f t="shared" ca="1" si="12"/>
        <v>45.256462664750238</v>
      </c>
      <c r="I57" s="304">
        <f t="shared" ca="1" si="13"/>
        <v>45.450272241196956</v>
      </c>
      <c r="J57" s="306">
        <f t="shared" ca="1" si="14"/>
        <v>1.0380544132196197</v>
      </c>
      <c r="K57" s="307">
        <f t="shared" ca="1" si="15"/>
        <v>11.605747472928835</v>
      </c>
      <c r="L57" s="304">
        <f t="shared" ca="1" si="0"/>
        <v>11.652078414179968</v>
      </c>
      <c r="M57" s="306">
        <f t="shared" ca="1" si="16"/>
        <v>1.4784140168262907</v>
      </c>
      <c r="N57" s="304">
        <f t="shared" ca="1" si="17"/>
        <v>84.706883537129528</v>
      </c>
      <c r="P57" s="310">
        <f t="shared" ca="1" si="18"/>
        <v>3</v>
      </c>
      <c r="Q57" s="304">
        <f t="shared" ca="1" si="19"/>
        <v>795.05</v>
      </c>
      <c r="R57" s="306">
        <f t="shared" ca="1" si="20"/>
        <v>0.39899855225251041</v>
      </c>
      <c r="S57" s="307">
        <f t="shared" ca="1" si="21"/>
        <v>8.3008657249668438</v>
      </c>
      <c r="T57" s="304">
        <f t="shared" ca="1" si="1"/>
        <v>81.431492761924744</v>
      </c>
      <c r="U57" s="311">
        <f t="shared" ca="1" si="2"/>
        <v>0</v>
      </c>
      <c r="V57" s="306">
        <f t="shared" ca="1" si="3"/>
        <v>1.2235791204530271</v>
      </c>
      <c r="W57" s="304">
        <f t="shared" ca="1" si="4"/>
        <v>6.6822072132503685</v>
      </c>
      <c r="Y57" s="314" t="str">
        <f t="shared" ca="1" si="22"/>
        <v/>
      </c>
      <c r="Z57" s="315" t="str">
        <f t="shared" ca="1" si="23"/>
        <v/>
      </c>
      <c r="AA57" s="316" t="str">
        <f t="shared" ca="1" si="24"/>
        <v/>
      </c>
      <c r="AC57" s="310" t="e">
        <f t="shared" ca="1" si="25"/>
        <v>#N/A</v>
      </c>
      <c r="AD57" s="323" t="e">
        <f t="shared" ca="1" si="26"/>
        <v>#N/A</v>
      </c>
      <c r="AE57" s="324">
        <f t="shared" ca="1" si="5"/>
        <v>11.605747472928835</v>
      </c>
      <c r="AG57" s="306">
        <f t="shared" ca="1" si="27"/>
        <v>85.235693045247018</v>
      </c>
      <c r="AH57" s="304">
        <f t="shared" ca="1" si="28"/>
        <v>95.00404074579447</v>
      </c>
    </row>
    <row r="58" spans="1:34" x14ac:dyDescent="0.2">
      <c r="A58" s="347">
        <f t="shared" ca="1" si="6"/>
        <v>0.01</v>
      </c>
      <c r="B58" s="304">
        <f t="shared" ca="1" si="7"/>
        <v>0.54000000000000026</v>
      </c>
      <c r="D58" s="306">
        <f t="shared" ca="1" si="8"/>
        <v>8.7525449406748699</v>
      </c>
      <c r="E58" s="307">
        <f t="shared" ca="1" si="9"/>
        <v>84.66297062858915</v>
      </c>
      <c r="F58" s="304">
        <f t="shared" ca="1" si="10"/>
        <v>85.114191757872447</v>
      </c>
      <c r="G58" s="306">
        <f t="shared" ca="1" si="11"/>
        <v>4.2803566972613698</v>
      </c>
      <c r="H58" s="307">
        <f t="shared" ca="1" si="12"/>
        <v>46.103092371036126</v>
      </c>
      <c r="I58" s="304">
        <f t="shared" ca="1" si="13"/>
        <v>46.301366930449035</v>
      </c>
      <c r="J58" s="306">
        <f t="shared" ca="1" si="14"/>
        <v>1.0804203529451997</v>
      </c>
      <c r="K58" s="307">
        <f t="shared" ca="1" si="15"/>
        <v>12.062545248107767</v>
      </c>
      <c r="L58" s="304">
        <f t="shared" ca="1" si="0"/>
        <v>12.11083424053461</v>
      </c>
      <c r="M58" s="306">
        <f t="shared" ca="1" si="16"/>
        <v>1.478218562138093</v>
      </c>
      <c r="N58" s="304">
        <f t="shared" ca="1" si="17"/>
        <v>84.695684808409752</v>
      </c>
      <c r="P58" s="310">
        <f t="shared" ca="1" si="18"/>
        <v>3</v>
      </c>
      <c r="Q58" s="304">
        <f t="shared" ca="1" si="19"/>
        <v>793.87</v>
      </c>
      <c r="R58" s="306">
        <f t="shared" ca="1" si="20"/>
        <v>0.3984063652307408</v>
      </c>
      <c r="S58" s="307">
        <f t="shared" ca="1" si="21"/>
        <v>8.2968816613145364</v>
      </c>
      <c r="T58" s="304">
        <f t="shared" ca="1" si="1"/>
        <v>81.392409097495602</v>
      </c>
      <c r="U58" s="311">
        <f t="shared" ca="1" si="2"/>
        <v>0</v>
      </c>
      <c r="V58" s="306">
        <f t="shared" ca="1" si="3"/>
        <v>1.2235232288880249</v>
      </c>
      <c r="W58" s="304">
        <f t="shared" ca="1" si="4"/>
        <v>6.9344935382396322</v>
      </c>
      <c r="Y58" s="314" t="str">
        <f t="shared" ca="1" si="22"/>
        <v/>
      </c>
      <c r="Z58" s="315" t="str">
        <f t="shared" ca="1" si="23"/>
        <v/>
      </c>
      <c r="AA58" s="316" t="str">
        <f t="shared" ca="1" si="24"/>
        <v/>
      </c>
      <c r="AC58" s="310" t="e">
        <f t="shared" ca="1" si="25"/>
        <v>#N/A</v>
      </c>
      <c r="AD58" s="323" t="e">
        <f t="shared" ca="1" si="26"/>
        <v>#N/A</v>
      </c>
      <c r="AE58" s="324">
        <f t="shared" ca="1" si="5"/>
        <v>12.062545248107767</v>
      </c>
      <c r="AG58" s="306">
        <f t="shared" ca="1" si="27"/>
        <v>85.10938048372914</v>
      </c>
      <c r="AH58" s="304">
        <f t="shared" ca="1" si="28"/>
        <v>94.877548568293022</v>
      </c>
    </row>
    <row r="59" spans="1:34" x14ac:dyDescent="0.2">
      <c r="A59" s="347">
        <f t="shared" ca="1" si="6"/>
        <v>0.01</v>
      </c>
      <c r="B59" s="304">
        <f t="shared" ca="1" si="7"/>
        <v>0.55000000000000027</v>
      </c>
      <c r="D59" s="306">
        <f t="shared" ca="1" si="8"/>
        <v>8.7592509625329154</v>
      </c>
      <c r="E59" s="307">
        <f t="shared" ca="1" si="9"/>
        <v>84.534603683407198</v>
      </c>
      <c r="F59" s="304">
        <f t="shared" ca="1" si="10"/>
        <v>84.987197255441686</v>
      </c>
      <c r="G59" s="306">
        <f t="shared" ca="1" si="11"/>
        <v>4.3679492068866992</v>
      </c>
      <c r="H59" s="307">
        <f t="shared" ca="1" si="12"/>
        <v>46.948438407870199</v>
      </c>
      <c r="I59" s="304">
        <f t="shared" ca="1" si="13"/>
        <v>47.151191386979015</v>
      </c>
      <c r="J59" s="306">
        <f t="shared" ca="1" si="14"/>
        <v>1.1236618824659401</v>
      </c>
      <c r="K59" s="307">
        <f t="shared" ca="1" si="15"/>
        <v>12.5278029020023</v>
      </c>
      <c r="L59" s="304">
        <f t="shared" ca="1" si="0"/>
        <v>12.578094512982647</v>
      </c>
      <c r="M59" s="306">
        <f t="shared" ca="1" si="16"/>
        <v>1.4780262252927763</v>
      </c>
      <c r="N59" s="304">
        <f t="shared" ca="1" si="17"/>
        <v>84.684664718928246</v>
      </c>
      <c r="P59" s="310">
        <f t="shared" ca="1" si="18"/>
        <v>3</v>
      </c>
      <c r="Q59" s="304">
        <f t="shared" ca="1" si="19"/>
        <v>792.68999999999994</v>
      </c>
      <c r="R59" s="306">
        <f t="shared" ca="1" si="20"/>
        <v>0.39781417820897108</v>
      </c>
      <c r="S59" s="307">
        <f t="shared" ca="1" si="21"/>
        <v>8.2929035195324463</v>
      </c>
      <c r="T59" s="304">
        <f t="shared" ca="1" si="1"/>
        <v>81.3533835266133</v>
      </c>
      <c r="U59" s="311">
        <f t="shared" ca="1" si="2"/>
        <v>0</v>
      </c>
      <c r="V59" s="306">
        <f t="shared" ca="1" si="3"/>
        <v>1.2234663048360412</v>
      </c>
      <c r="W59" s="304">
        <f t="shared" ca="1" si="4"/>
        <v>7.1910491646877448</v>
      </c>
      <c r="Y59" s="314" t="str">
        <f t="shared" ca="1" si="22"/>
        <v/>
      </c>
      <c r="Z59" s="315" t="str">
        <f t="shared" ca="1" si="23"/>
        <v/>
      </c>
      <c r="AA59" s="316" t="str">
        <f t="shared" ca="1" si="24"/>
        <v/>
      </c>
      <c r="AC59" s="310" t="e">
        <f t="shared" ca="1" si="25"/>
        <v>#N/A</v>
      </c>
      <c r="AD59" s="323" t="e">
        <f t="shared" ca="1" si="26"/>
        <v>#N/A</v>
      </c>
      <c r="AE59" s="324">
        <f t="shared" ca="1" si="5"/>
        <v>12.5278029020023</v>
      </c>
      <c r="AG59" s="306">
        <f t="shared" ca="1" si="27"/>
        <v>84.982358438707195</v>
      </c>
      <c r="AH59" s="304">
        <f t="shared" ca="1" si="28"/>
        <v>94.750349453729228</v>
      </c>
    </row>
    <row r="60" spans="1:34" x14ac:dyDescent="0.2">
      <c r="A60" s="347">
        <f t="shared" ca="1" si="6"/>
        <v>0.01</v>
      </c>
      <c r="B60" s="304">
        <f t="shared" ca="1" si="7"/>
        <v>0.56000000000000028</v>
      </c>
      <c r="D60" s="306">
        <f t="shared" ca="1" si="8"/>
        <v>8.7655481012900829</v>
      </c>
      <c r="E60" s="307">
        <f t="shared" ca="1" si="9"/>
        <v>84.405563334804086</v>
      </c>
      <c r="F60" s="304">
        <f t="shared" ca="1" si="10"/>
        <v>84.859495375483192</v>
      </c>
      <c r="G60" s="306">
        <f t="shared" ca="1" si="11"/>
        <v>4.4556046878995996</v>
      </c>
      <c r="H60" s="307">
        <f t="shared" ca="1" si="12"/>
        <v>47.792494041218241</v>
      </c>
      <c r="I60" s="304">
        <f t="shared" ca="1" si="13"/>
        <v>47.999738539024506</v>
      </c>
      <c r="J60" s="306">
        <f t="shared" ca="1" si="14"/>
        <v>1.1677796519398715</v>
      </c>
      <c r="K60" s="307">
        <f t="shared" ca="1" si="15"/>
        <v>13.001507564247742</v>
      </c>
      <c r="L60" s="304">
        <f t="shared" ca="1" si="0"/>
        <v>13.053846492841719</v>
      </c>
      <c r="M60" s="306">
        <f t="shared" ca="1" si="16"/>
        <v>1.477836897205641</v>
      </c>
      <c r="N60" s="304">
        <f t="shared" ca="1" si="17"/>
        <v>84.673817018592118</v>
      </c>
      <c r="P60" s="310">
        <f t="shared" ca="1" si="18"/>
        <v>3</v>
      </c>
      <c r="Q60" s="304">
        <f t="shared" ca="1" si="19"/>
        <v>791.51</v>
      </c>
      <c r="R60" s="306">
        <f t="shared" ca="1" si="20"/>
        <v>0.39722199118720147</v>
      </c>
      <c r="S60" s="307">
        <f t="shared" ca="1" si="21"/>
        <v>8.2889312996205735</v>
      </c>
      <c r="T60" s="304">
        <f t="shared" ca="1" si="1"/>
        <v>81.314416049277824</v>
      </c>
      <c r="U60" s="311">
        <f t="shared" ca="1" si="2"/>
        <v>0</v>
      </c>
      <c r="V60" s="306">
        <f t="shared" ca="1" si="3"/>
        <v>1.2234083500158452</v>
      </c>
      <c r="W60" s="304">
        <f t="shared" ca="1" si="4"/>
        <v>7.4518497086292426</v>
      </c>
      <c r="Y60" s="314" t="str">
        <f t="shared" ca="1" si="22"/>
        <v/>
      </c>
      <c r="Z60" s="315" t="str">
        <f t="shared" ca="1" si="23"/>
        <v/>
      </c>
      <c r="AA60" s="316" t="str">
        <f t="shared" ca="1" si="24"/>
        <v/>
      </c>
      <c r="AC60" s="310" t="e">
        <f t="shared" ca="1" si="25"/>
        <v>#N/A</v>
      </c>
      <c r="AD60" s="323" t="e">
        <f t="shared" ca="1" si="26"/>
        <v>#N/A</v>
      </c>
      <c r="AE60" s="324">
        <f t="shared" ca="1" si="5"/>
        <v>13.001507564247742</v>
      </c>
      <c r="AG60" s="306">
        <f t="shared" ca="1" si="27"/>
        <v>84.854629176718646</v>
      </c>
      <c r="AH60" s="304">
        <f t="shared" ca="1" si="28"/>
        <v>94.622445582485938</v>
      </c>
    </row>
    <row r="61" spans="1:34" x14ac:dyDescent="0.2">
      <c r="A61" s="347">
        <f t="shared" ca="1" si="6"/>
        <v>0.01</v>
      </c>
      <c r="B61" s="304">
        <f t="shared" ca="1" si="7"/>
        <v>0.57000000000000028</v>
      </c>
      <c r="D61" s="306">
        <f t="shared" ca="1" si="8"/>
        <v>8.7714476275545863</v>
      </c>
      <c r="E61" s="307">
        <f t="shared" ca="1" si="9"/>
        <v>84.275850930904411</v>
      </c>
      <c r="F61" s="304">
        <f t="shared" ca="1" si="10"/>
        <v>84.731088412760016</v>
      </c>
      <c r="G61" s="306">
        <f t="shared" ca="1" si="11"/>
        <v>4.5433191641751458</v>
      </c>
      <c r="H61" s="307">
        <f t="shared" ca="1" si="12"/>
        <v>48.635252550527284</v>
      </c>
      <c r="I61" s="304">
        <f t="shared" ca="1" si="13"/>
        <v>48.847001337657687</v>
      </c>
      <c r="J61" s="306">
        <f t="shared" ca="1" si="14"/>
        <v>1.2127742712002452</v>
      </c>
      <c r="K61" s="307">
        <f t="shared" ca="1" si="15"/>
        <v>13.483646297206469</v>
      </c>
      <c r="L61" s="304">
        <f t="shared" ca="1" si="0"/>
        <v>13.538077370921435</v>
      </c>
      <c r="M61" s="306">
        <f t="shared" ca="1" si="16"/>
        <v>1.4776504744675683</v>
      </c>
      <c r="N61" s="304">
        <f t="shared" ca="1" si="17"/>
        <v>84.663135782495274</v>
      </c>
      <c r="P61" s="310">
        <f t="shared" ca="1" si="18"/>
        <v>3</v>
      </c>
      <c r="Q61" s="304">
        <f t="shared" ca="1" si="19"/>
        <v>790.32999999999993</v>
      </c>
      <c r="R61" s="306">
        <f t="shared" ca="1" si="20"/>
        <v>0.39662980416543181</v>
      </c>
      <c r="S61" s="307">
        <f t="shared" ca="1" si="21"/>
        <v>8.2849650015789198</v>
      </c>
      <c r="T61" s="304">
        <f t="shared" ca="1" si="1"/>
        <v>81.275506665489203</v>
      </c>
      <c r="U61" s="311">
        <f t="shared" ca="1" si="2"/>
        <v>0</v>
      </c>
      <c r="V61" s="306">
        <f t="shared" ca="1" si="3"/>
        <v>1.2233493661567378</v>
      </c>
      <c r="W61" s="304">
        <f t="shared" ca="1" si="4"/>
        <v>7.716870653853543</v>
      </c>
      <c r="Y61" s="314" t="str">
        <f t="shared" ca="1" si="22"/>
        <v/>
      </c>
      <c r="Z61" s="315" t="str">
        <f t="shared" ca="1" si="23"/>
        <v/>
      </c>
      <c r="AA61" s="316" t="str">
        <f t="shared" ca="1" si="24"/>
        <v/>
      </c>
      <c r="AC61" s="310" t="e">
        <f t="shared" ca="1" si="25"/>
        <v>#N/A</v>
      </c>
      <c r="AD61" s="323" t="e">
        <f t="shared" ca="1" si="26"/>
        <v>#N/A</v>
      </c>
      <c r="AE61" s="324">
        <f t="shared" ca="1" si="5"/>
        <v>13.483646297206469</v>
      </c>
      <c r="AG61" s="306">
        <f t="shared" ca="1" si="27"/>
        <v>84.726194983259049</v>
      </c>
      <c r="AH61" s="304">
        <f t="shared" ca="1" si="28"/>
        <v>94.493839158303331</v>
      </c>
    </row>
    <row r="62" spans="1:34" x14ac:dyDescent="0.2">
      <c r="A62" s="347">
        <f t="shared" ca="1" si="6"/>
        <v>0.01</v>
      </c>
      <c r="B62" s="304">
        <f t="shared" ca="1" si="7"/>
        <v>0.58000000000000029</v>
      </c>
      <c r="D62" s="306">
        <f t="shared" ca="1" si="8"/>
        <v>8.7769602384531176</v>
      </c>
      <c r="E62" s="307">
        <f t="shared" ca="1" si="9"/>
        <v>84.145467885471163</v>
      </c>
      <c r="F62" s="304">
        <f t="shared" ca="1" si="10"/>
        <v>84.601978680715533</v>
      </c>
      <c r="G62" s="306">
        <f t="shared" ca="1" si="11"/>
        <v>4.6310887665596772</v>
      </c>
      <c r="H62" s="307">
        <f t="shared" ca="1" si="12"/>
        <v>49.476707229381994</v>
      </c>
      <c r="I62" s="304">
        <f t="shared" ca="1" si="13"/>
        <v>49.692972756977781</v>
      </c>
      <c r="J62" s="306">
        <f t="shared" ca="1" si="14"/>
        <v>1.2586463108539192</v>
      </c>
      <c r="K62" s="307">
        <f t="shared" ca="1" si="15"/>
        <v>13.974206096106016</v>
      </c>
      <c r="L62" s="304">
        <f t="shared" ca="1" si="0"/>
        <v>14.03077426773992</v>
      </c>
      <c r="M62" s="306">
        <f t="shared" ca="1" si="16"/>
        <v>1.4774668589545552</v>
      </c>
      <c r="N62" s="304">
        <f t="shared" ca="1" si="17"/>
        <v>84.652615388546494</v>
      </c>
      <c r="P62" s="310">
        <f t="shared" ca="1" si="18"/>
        <v>3</v>
      </c>
      <c r="Q62" s="304">
        <f t="shared" ca="1" si="19"/>
        <v>789.15</v>
      </c>
      <c r="R62" s="306">
        <f t="shared" ca="1" si="20"/>
        <v>0.39603761714366215</v>
      </c>
      <c r="S62" s="307">
        <f t="shared" ca="1" si="21"/>
        <v>8.2810046254074834</v>
      </c>
      <c r="T62" s="304">
        <f t="shared" ca="1" si="1"/>
        <v>81.236655375247423</v>
      </c>
      <c r="U62" s="311">
        <f t="shared" ca="1" si="2"/>
        <v>0</v>
      </c>
      <c r="V62" s="306">
        <f t="shared" ca="1" si="3"/>
        <v>1.2232893549985175</v>
      </c>
      <c r="W62" s="304">
        <f t="shared" ca="1" si="4"/>
        <v>7.9860873534720884</v>
      </c>
      <c r="Y62" s="314" t="str">
        <f t="shared" ca="1" si="22"/>
        <v/>
      </c>
      <c r="Z62" s="315" t="str">
        <f t="shared" ca="1" si="23"/>
        <v/>
      </c>
      <c r="AA62" s="316" t="str">
        <f t="shared" ca="1" si="24"/>
        <v/>
      </c>
      <c r="AC62" s="310" t="e">
        <f t="shared" ca="1" si="25"/>
        <v>#N/A</v>
      </c>
      <c r="AD62" s="323" t="e">
        <f t="shared" ca="1" si="26"/>
        <v>#N/A</v>
      </c>
      <c r="AE62" s="324">
        <f t="shared" ca="1" si="5"/>
        <v>13.974206096106016</v>
      </c>
      <c r="AG62" s="306">
        <f t="shared" ca="1" si="27"/>
        <v>84.597058162933962</v>
      </c>
      <c r="AH62" s="304">
        <f t="shared" ca="1" si="28"/>
        <v>94.364532408130913</v>
      </c>
    </row>
    <row r="63" spans="1:34" x14ac:dyDescent="0.2">
      <c r="A63" s="347">
        <f t="shared" ca="1" si="6"/>
        <v>0.01</v>
      </c>
      <c r="B63" s="304">
        <f t="shared" ca="1" si="7"/>
        <v>0.5900000000000003</v>
      </c>
      <c r="D63" s="306">
        <f t="shared" ca="1" si="8"/>
        <v>8.7820960971926674</v>
      </c>
      <c r="E63" s="307">
        <f t="shared" ca="1" si="9"/>
        <v>84.0144156749096</v>
      </c>
      <c r="F63" s="304">
        <f t="shared" ca="1" si="10"/>
        <v>84.472168511627686</v>
      </c>
      <c r="G63" s="306">
        <f t="shared" ca="1" si="11"/>
        <v>4.7189097275316039</v>
      </c>
      <c r="H63" s="307">
        <f t="shared" ca="1" si="12"/>
        <v>50.316851386131091</v>
      </c>
      <c r="I63" s="304">
        <f t="shared" ca="1" si="13"/>
        <v>50.537645794304609</v>
      </c>
      <c r="J63" s="306">
        <f t="shared" ca="1" si="14"/>
        <v>1.3053963033243756</v>
      </c>
      <c r="K63" s="307">
        <f t="shared" ca="1" si="15"/>
        <v>14.473173889183581</v>
      </c>
      <c r="L63" s="304">
        <f t="shared" ca="1" si="0"/>
        <v>14.531924233744075</v>
      </c>
      <c r="M63" s="306">
        <f t="shared" ca="1" si="16"/>
        <v>1.4772859574704271</v>
      </c>
      <c r="N63" s="304">
        <f t="shared" ca="1" si="17"/>
        <v>84.642250496998301</v>
      </c>
      <c r="P63" s="310">
        <f t="shared" ca="1" si="18"/>
        <v>3</v>
      </c>
      <c r="Q63" s="304">
        <f t="shared" ca="1" si="19"/>
        <v>787.96999999999991</v>
      </c>
      <c r="R63" s="306">
        <f t="shared" ca="1" si="20"/>
        <v>0.39544543012189248</v>
      </c>
      <c r="S63" s="307">
        <f t="shared" ca="1" si="21"/>
        <v>8.2770501711062643</v>
      </c>
      <c r="T63" s="304">
        <f t="shared" ca="1" si="1"/>
        <v>81.197862178552455</v>
      </c>
      <c r="U63" s="311">
        <f t="shared" ca="1" si="2"/>
        <v>0</v>
      </c>
      <c r="V63" s="306">
        <f t="shared" ca="1" si="3"/>
        <v>1.2232283182914474</v>
      </c>
      <c r="W63" s="304">
        <f t="shared" ca="1" si="4"/>
        <v>8.259475031493464</v>
      </c>
      <c r="Y63" s="314" t="str">
        <f t="shared" ca="1" si="22"/>
        <v/>
      </c>
      <c r="Z63" s="315" t="str">
        <f t="shared" ca="1" si="23"/>
        <v/>
      </c>
      <c r="AA63" s="316" t="str">
        <f t="shared" ca="1" si="24"/>
        <v/>
      </c>
      <c r="AC63" s="310" t="e">
        <f t="shared" ca="1" si="25"/>
        <v>#N/A</v>
      </c>
      <c r="AD63" s="323" t="e">
        <f t="shared" ca="1" si="26"/>
        <v>#N/A</v>
      </c>
      <c r="AE63" s="324">
        <f t="shared" ca="1" si="5"/>
        <v>14.473173889183581</v>
      </c>
      <c r="AG63" s="306">
        <f t="shared" ca="1" si="27"/>
        <v>84.467221039583848</v>
      </c>
      <c r="AH63" s="304">
        <f t="shared" ca="1" si="28"/>
        <v>94.234527581977872</v>
      </c>
    </row>
    <row r="64" spans="1:34" x14ac:dyDescent="0.2">
      <c r="A64" s="347">
        <f t="shared" ca="1" si="6"/>
        <v>0.01</v>
      </c>
      <c r="B64" s="304">
        <f t="shared" ca="1" si="7"/>
        <v>0.60000000000000031</v>
      </c>
      <c r="D64" s="306">
        <f t="shared" ca="1" si="8"/>
        <v>8.7868648692650915</v>
      </c>
      <c r="E64" s="307">
        <f t="shared" ca="1" si="9"/>
        <v>83.882695835505771</v>
      </c>
      <c r="F64" s="304">
        <f t="shared" ca="1" si="10"/>
        <v>84.34166025673612</v>
      </c>
      <c r="G64" s="306">
        <f t="shared" ca="1" si="11"/>
        <v>4.8067783762242549</v>
      </c>
      <c r="H64" s="307">
        <f t="shared" ca="1" si="12"/>
        <v>51.155678344486148</v>
      </c>
      <c r="I64" s="304">
        <f t="shared" ca="1" si="13"/>
        <v>51.381013470373141</v>
      </c>
      <c r="J64" s="306">
        <f t="shared" ca="1" si="14"/>
        <v>1.3530247438431549</v>
      </c>
      <c r="K64" s="307">
        <f t="shared" ca="1" si="15"/>
        <v>14.980536537836667</v>
      </c>
      <c r="L64" s="304">
        <f t="shared" ca="1" si="0"/>
        <v>15.041514249533231</v>
      </c>
      <c r="M64" s="306">
        <f t="shared" ca="1" si="16"/>
        <v>1.4771076814193858</v>
      </c>
      <c r="N64" s="304">
        <f t="shared" ca="1" si="17"/>
        <v>84.632036031685374</v>
      </c>
      <c r="P64" s="310">
        <f t="shared" ca="1" si="18"/>
        <v>3</v>
      </c>
      <c r="Q64" s="304">
        <f t="shared" ca="1" si="19"/>
        <v>786.79</v>
      </c>
      <c r="R64" s="306">
        <f t="shared" ca="1" si="20"/>
        <v>0.39485324310012287</v>
      </c>
      <c r="S64" s="307">
        <f t="shared" ca="1" si="21"/>
        <v>8.2731016386752625</v>
      </c>
      <c r="T64" s="304">
        <f t="shared" ca="1" si="1"/>
        <v>81.159127075404328</v>
      </c>
      <c r="U64" s="311">
        <f t="shared" ca="1" si="2"/>
        <v>0</v>
      </c>
      <c r="V64" s="306">
        <f t="shared" ca="1" si="3"/>
        <v>1.2231662577962192</v>
      </c>
      <c r="W64" s="304">
        <f t="shared" ca="1" si="4"/>
        <v>8.5370087844063338</v>
      </c>
      <c r="Y64" s="314" t="str">
        <f t="shared" ca="1" si="22"/>
        <v/>
      </c>
      <c r="Z64" s="315" t="str">
        <f t="shared" ca="1" si="23"/>
        <v/>
      </c>
      <c r="AA64" s="316" t="str">
        <f t="shared" ca="1" si="24"/>
        <v/>
      </c>
      <c r="AC64" s="310" t="e">
        <f t="shared" ca="1" si="25"/>
        <v>#N/A</v>
      </c>
      <c r="AD64" s="323" t="e">
        <f t="shared" ca="1" si="26"/>
        <v>#N/A</v>
      </c>
      <c r="AE64" s="324">
        <f t="shared" ca="1" si="5"/>
        <v>14.980536537836667</v>
      </c>
      <c r="AG64" s="306">
        <f t="shared" ca="1" si="27"/>
        <v>84.336685956384457</v>
      </c>
      <c r="AH64" s="304">
        <f t="shared" ca="1" si="28"/>
        <v>94.103826952761736</v>
      </c>
    </row>
    <row r="65" spans="1:34" x14ac:dyDescent="0.2">
      <c r="A65" s="347">
        <f t="shared" ca="1" si="6"/>
        <v>0.01</v>
      </c>
      <c r="B65" s="304">
        <f t="shared" ca="1" si="7"/>
        <v>0.61000000000000032</v>
      </c>
      <c r="D65" s="306">
        <f t="shared" ca="1" si="8"/>
        <v>8.7912757556318173</v>
      </c>
      <c r="E65" s="307">
        <f t="shared" ca="1" si="9"/>
        <v>83.750309960876564</v>
      </c>
      <c r="F65" s="304">
        <f t="shared" ca="1" si="10"/>
        <v>84.21045628634522</v>
      </c>
      <c r="G65" s="306">
        <f t="shared" ca="1" si="11"/>
        <v>4.8946911337805732</v>
      </c>
      <c r="H65" s="307">
        <f t="shared" ca="1" si="12"/>
        <v>51.993181444094915</v>
      </c>
      <c r="I65" s="304">
        <f t="shared" ca="1" si="13"/>
        <v>52.223068829528643</v>
      </c>
      <c r="J65" s="306">
        <f t="shared" ca="1" si="14"/>
        <v>1.401532091393179</v>
      </c>
      <c r="K65" s="307">
        <f t="shared" ca="1" si="15"/>
        <v>15.496280836779572</v>
      </c>
      <c r="L65" s="304">
        <f t="shared" ca="1" si="0"/>
        <v>15.559531226086046</v>
      </c>
      <c r="M65" s="306">
        <f t="shared" ca="1" si="16"/>
        <v>1.476931946505448</v>
      </c>
      <c r="N65" s="304">
        <f t="shared" ca="1" si="17"/>
        <v>84.621967162803642</v>
      </c>
      <c r="P65" s="310">
        <f t="shared" ca="1" si="18"/>
        <v>3</v>
      </c>
      <c r="Q65" s="304">
        <f t="shared" ca="1" si="19"/>
        <v>785.61</v>
      </c>
      <c r="R65" s="306">
        <f t="shared" ca="1" si="20"/>
        <v>0.39426105607835321</v>
      </c>
      <c r="S65" s="307">
        <f t="shared" ca="1" si="21"/>
        <v>8.2691590281144798</v>
      </c>
      <c r="T65" s="304">
        <f t="shared" ca="1" si="1"/>
        <v>81.120450065803055</v>
      </c>
      <c r="U65" s="311">
        <f t="shared" ca="1" si="2"/>
        <v>0</v>
      </c>
      <c r="V65" s="306">
        <f t="shared" ca="1" si="3"/>
        <v>1.2231031752839197</v>
      </c>
      <c r="W65" s="304">
        <f t="shared" ca="1" si="4"/>
        <v>8.8186635827700464</v>
      </c>
      <c r="Y65" s="314" t="str">
        <f t="shared" ca="1" si="22"/>
        <v/>
      </c>
      <c r="Z65" s="315" t="str">
        <f t="shared" ca="1" si="23"/>
        <v/>
      </c>
      <c r="AA65" s="316" t="str">
        <f t="shared" ca="1" si="24"/>
        <v/>
      </c>
      <c r="AC65" s="310" t="e">
        <f t="shared" ca="1" si="25"/>
        <v>#N/A</v>
      </c>
      <c r="AD65" s="323" t="e">
        <f t="shared" ca="1" si="26"/>
        <v>#N/A</v>
      </c>
      <c r="AE65" s="324">
        <f t="shared" ca="1" si="5"/>
        <v>15.496280836779572</v>
      </c>
      <c r="AG65" s="306">
        <f t="shared" ca="1" si="27"/>
        <v>84.205455275925118</v>
      </c>
      <c r="AH65" s="304">
        <f t="shared" ca="1" si="28"/>
        <v>93.972432816155504</v>
      </c>
    </row>
    <row r="66" spans="1:34" x14ac:dyDescent="0.2">
      <c r="A66" s="347">
        <f t="shared" ca="1" si="6"/>
        <v>0.01</v>
      </c>
      <c r="B66" s="304">
        <f t="shared" ca="1" si="7"/>
        <v>0.62000000000000033</v>
      </c>
      <c r="D66" s="306">
        <f t="shared" ca="1" si="8"/>
        <v>8.7953375231866193</v>
      </c>
      <c r="E66" s="307">
        <f t="shared" ca="1" si="9"/>
        <v>83.617259699610401</v>
      </c>
      <c r="F66" s="304">
        <f t="shared" ca="1" si="10"/>
        <v>84.078558989904579</v>
      </c>
      <c r="G66" s="306">
        <f t="shared" ca="1" si="11"/>
        <v>4.9826445090124398</v>
      </c>
      <c r="H66" s="307">
        <f t="shared" ca="1" si="12"/>
        <v>52.829354041091023</v>
      </c>
      <c r="I66" s="304">
        <f t="shared" ca="1" si="13"/>
        <v>53.063804939922392</v>
      </c>
      <c r="J66" s="306">
        <f t="shared" ca="1" si="14"/>
        <v>1.4509187696071442</v>
      </c>
      <c r="K66" s="307">
        <f t="shared" ca="1" si="15"/>
        <v>16.020393514205502</v>
      </c>
      <c r="L66" s="304">
        <f t="shared" ca="1" si="0"/>
        <v>16.085962004990439</v>
      </c>
      <c r="M66" s="306">
        <f t="shared" ca="1" si="16"/>
        <v>1.4767586724561543</v>
      </c>
      <c r="N66" s="304">
        <f t="shared" ca="1" si="17"/>
        <v>84.612039291079981</v>
      </c>
      <c r="P66" s="310">
        <f t="shared" ca="1" si="18"/>
        <v>3</v>
      </c>
      <c r="Q66" s="304">
        <f t="shared" ca="1" si="19"/>
        <v>784.43</v>
      </c>
      <c r="R66" s="306">
        <f t="shared" ca="1" si="20"/>
        <v>0.39366886905658355</v>
      </c>
      <c r="S66" s="307">
        <f t="shared" ca="1" si="21"/>
        <v>8.2652223394239144</v>
      </c>
      <c r="T66" s="304">
        <f t="shared" ca="1" si="1"/>
        <v>81.081831149748609</v>
      </c>
      <c r="U66" s="311">
        <f t="shared" ca="1" si="2"/>
        <v>0</v>
      </c>
      <c r="V66" s="306">
        <f t="shared" ca="1" si="3"/>
        <v>1.2230390725359914</v>
      </c>
      <c r="W66" s="304">
        <f t="shared" ca="1" si="4"/>
        <v>9.1044142728127433</v>
      </c>
      <c r="Y66" s="314" t="str">
        <f t="shared" ca="1" si="22"/>
        <v/>
      </c>
      <c r="Z66" s="315" t="str">
        <f t="shared" ca="1" si="23"/>
        <v/>
      </c>
      <c r="AA66" s="316" t="str">
        <f t="shared" ca="1" si="24"/>
        <v/>
      </c>
      <c r="AC66" s="310" t="e">
        <f t="shared" ca="1" si="25"/>
        <v>#N/A</v>
      </c>
      <c r="AD66" s="323" t="e">
        <f t="shared" ca="1" si="26"/>
        <v>#N/A</v>
      </c>
      <c r="AE66" s="324">
        <f t="shared" ca="1" si="5"/>
        <v>16.020393514205502</v>
      </c>
      <c r="AG66" s="306">
        <f t="shared" ca="1" si="27"/>
        <v>84.073531380266587</v>
      </c>
      <c r="AH66" s="304">
        <f t="shared" ca="1" si="28"/>
        <v>93.840347490433032</v>
      </c>
    </row>
    <row r="67" spans="1:34" x14ac:dyDescent="0.2">
      <c r="A67" s="347">
        <f t="shared" ca="1" si="6"/>
        <v>0.01</v>
      </c>
      <c r="B67" s="304">
        <f t="shared" ca="1" si="7"/>
        <v>0.63000000000000034</v>
      </c>
      <c r="D67" s="306">
        <f t="shared" ca="1" si="8"/>
        <v>8.7990585327613413</v>
      </c>
      <c r="E67" s="307">
        <f t="shared" ca="1" si="9"/>
        <v>83.483546753080489</v>
      </c>
      <c r="F67" s="304">
        <f t="shared" ca="1" si="10"/>
        <v>83.945970776069629</v>
      </c>
      <c r="G67" s="306">
        <f t="shared" ca="1" si="11"/>
        <v>5.0706350943400533</v>
      </c>
      <c r="H67" s="307">
        <f t="shared" ca="1" si="12"/>
        <v>53.664189508621824</v>
      </c>
      <c r="I67" s="304">
        <f t="shared" ca="1" si="13"/>
        <v>53.903214893707684</v>
      </c>
      <c r="J67" s="306">
        <f t="shared" ca="1" si="14"/>
        <v>1.5011851676239067</v>
      </c>
      <c r="K67" s="307">
        <f t="shared" ca="1" si="15"/>
        <v>16.552861231954065</v>
      </c>
      <c r="L67" s="304">
        <f t="shared" ca="1" si="0"/>
        <v>16.620793358676412</v>
      </c>
      <c r="M67" s="306">
        <f t="shared" ca="1" si="16"/>
        <v>1.4765877827682292</v>
      </c>
      <c r="N67" s="304">
        <f t="shared" ca="1" si="17"/>
        <v>84.602248033199558</v>
      </c>
      <c r="P67" s="310">
        <f t="shared" ca="1" si="18"/>
        <v>3</v>
      </c>
      <c r="Q67" s="304">
        <f t="shared" ca="1" si="19"/>
        <v>783.25</v>
      </c>
      <c r="R67" s="306">
        <f t="shared" ca="1" si="20"/>
        <v>0.39307668203481394</v>
      </c>
      <c r="S67" s="307">
        <f t="shared" ca="1" si="21"/>
        <v>8.2612915726035663</v>
      </c>
      <c r="T67" s="304">
        <f t="shared" ca="1" si="1"/>
        <v>81.04327032724099</v>
      </c>
      <c r="U67" s="311">
        <f t="shared" ca="1" si="2"/>
        <v>0</v>
      </c>
      <c r="V67" s="306">
        <f t="shared" ca="1" si="3"/>
        <v>1.2229739513441982</v>
      </c>
      <c r="W67" s="304">
        <f t="shared" ca="1" si="4"/>
        <v>9.3942355780368558</v>
      </c>
      <c r="Y67" s="314" t="str">
        <f t="shared" ca="1" si="22"/>
        <v/>
      </c>
      <c r="Z67" s="315" t="str">
        <f t="shared" ca="1" si="23"/>
        <v/>
      </c>
      <c r="AA67" s="316" t="str">
        <f t="shared" ca="1" si="24"/>
        <v/>
      </c>
      <c r="AC67" s="310" t="e">
        <f t="shared" ca="1" si="25"/>
        <v>#N/A</v>
      </c>
      <c r="AD67" s="323" t="e">
        <f t="shared" ca="1" si="26"/>
        <v>#N/A</v>
      </c>
      <c r="AE67" s="324">
        <f t="shared" ca="1" si="5"/>
        <v>16.552861231954065</v>
      </c>
      <c r="AG67" s="306">
        <f t="shared" ca="1" si="27"/>
        <v>83.940916670980826</v>
      </c>
      <c r="AH67" s="304">
        <f t="shared" ca="1" si="28"/>
        <v>93.707573316312988</v>
      </c>
    </row>
    <row r="68" spans="1:34" x14ac:dyDescent="0.2">
      <c r="A68" s="347">
        <f t="shared" ca="1" si="6"/>
        <v>0.01</v>
      </c>
      <c r="B68" s="304">
        <f t="shared" ca="1" si="7"/>
        <v>0.64000000000000035</v>
      </c>
      <c r="D68" s="306">
        <f t="shared" ca="1" si="8"/>
        <v>8.8024467649088773</v>
      </c>
      <c r="E68" s="307">
        <f t="shared" ca="1" si="9"/>
        <v>83.349172873414005</v>
      </c>
      <c r="F68" s="304">
        <f t="shared" ca="1" si="10"/>
        <v>83.812694072743582</v>
      </c>
      <c r="G68" s="306">
        <f t="shared" ca="1" si="11"/>
        <v>5.1586595619891424</v>
      </c>
      <c r="H68" s="307">
        <f t="shared" ca="1" si="12"/>
        <v>54.497681237355962</v>
      </c>
      <c r="I68" s="304">
        <f t="shared" ca="1" si="13"/>
        <v>54.741291807235989</v>
      </c>
      <c r="J68" s="306">
        <f t="shared" ca="1" si="14"/>
        <v>1.5523316409055528</v>
      </c>
      <c r="K68" s="307">
        <f t="shared" ca="1" si="15"/>
        <v>17.093670585683952</v>
      </c>
      <c r="L68" s="304">
        <f t="shared" ref="L68:L131" ca="1" si="29">SQRT(pos_x^2+pos_z^2)</f>
        <v>17.164011990651641</v>
      </c>
      <c r="M68" s="306">
        <f t="shared" ca="1" si="16"/>
        <v>1.4764192044731246</v>
      </c>
      <c r="N68" s="304">
        <f t="shared" ca="1" si="17"/>
        <v>84.592589208372559</v>
      </c>
      <c r="P68" s="310">
        <f t="shared" ca="1" si="18"/>
        <v>3</v>
      </c>
      <c r="Q68" s="304">
        <f t="shared" ca="1" si="19"/>
        <v>782.06999999999994</v>
      </c>
      <c r="R68" s="306">
        <f t="shared" ca="1" si="20"/>
        <v>0.39248449501304422</v>
      </c>
      <c r="S68" s="307">
        <f t="shared" ca="1" si="21"/>
        <v>8.2573667276534355</v>
      </c>
      <c r="T68" s="304">
        <f t="shared" ref="T68:T131" ca="1" si="30">m*g</f>
        <v>81.00476759828021</v>
      </c>
      <c r="U68" s="311">
        <f t="shared" ref="U68:U131" ca="1" si="31">IF(pos_xz&lt;L_rampe,Poids*COS(Beta),0)</f>
        <v>0</v>
      </c>
      <c r="V68" s="306">
        <f t="shared" ref="V68:V131" ca="1" si="32">Rho_moyen*(20000-Alt_rampe-pos_z)/(20000+Alt_rampe+pos_z)</f>
        <v>1.2229078135105864</v>
      </c>
      <c r="W68" s="304">
        <f t="shared" ref="W68:W131" ca="1" si="33">1/2*Rho*Sref*Cx*vit_xz^2</f>
        <v>9.6881021008317845</v>
      </c>
      <c r="Y68" s="314" t="str">
        <f t="shared" ca="1" si="22"/>
        <v/>
      </c>
      <c r="Z68" s="315" t="str">
        <f t="shared" ca="1" si="23"/>
        <v/>
      </c>
      <c r="AA68" s="316" t="str">
        <f t="shared" ca="1" si="24"/>
        <v/>
      </c>
      <c r="AC68" s="310" t="e">
        <f t="shared" ca="1" si="25"/>
        <v>#N/A</v>
      </c>
      <c r="AD68" s="323" t="e">
        <f t="shared" ca="1" si="26"/>
        <v>#N/A</v>
      </c>
      <c r="AE68" s="324">
        <f t="shared" ref="AE68:AE131" ca="1" si="34">IF(t&lt;T_para, pos_z, NA())</f>
        <v>17.093670585683952</v>
      </c>
      <c r="AG68" s="306">
        <f t="shared" ca="1" si="27"/>
        <v>83.807613569173625</v>
      </c>
      <c r="AH68" s="304">
        <f t="shared" ca="1" si="28"/>
        <v>93.574112656801034</v>
      </c>
    </row>
    <row r="69" spans="1:34" x14ac:dyDescent="0.2">
      <c r="A69" s="347">
        <f t="shared" ref="A69:A132" ca="1" si="35">IF(B68+0.01&lt;=T_ini+ROUNDUP(Temps_fin_propu,0), 0.01, IF(K68&gt;0, 0.1, 0.0001))</f>
        <v>0.01</v>
      </c>
      <c r="B69" s="304">
        <f t="shared" ref="B69:B132" ca="1" si="36">B68+pas</f>
        <v>0.65000000000000036</v>
      </c>
      <c r="D69" s="306">
        <f t="shared" ref="D69:D132" ca="1" si="37">IF(AND(L68&lt;L_rampe,Poussee&lt;Poids*SIN(M68)),0,(-W68+Poussee)/m*COS(M68)-U68/m*SIN(M68))</f>
        <v>8.8055098436726826</v>
      </c>
      <c r="E69" s="307">
        <f t="shared" ref="E69:E132" ca="1" si="38">IF(AND(L68&lt;L_rampe,Poussee&lt;Poids*SIN(M68)),0,(-W68+Poussee)/m*SIN(M68)+U68/m*COS(M68)-Poids/m)</f>
        <v>83.214139861603172</v>
      </c>
      <c r="F69" s="304">
        <f t="shared" ref="F69:F132" ca="1" si="39">SQRT(acc_x^2+acc_z^2)</f>
        <v>83.678731327102881</v>
      </c>
      <c r="G69" s="306">
        <f t="shared" ref="G69:G132" ca="1" si="40">G68+acc_x*pas</f>
        <v>5.2467146604258694</v>
      </c>
      <c r="H69" s="307">
        <f t="shared" ref="H69:H132" ca="1" si="41">H68+acc_z*pas</f>
        <v>55.329822635971993</v>
      </c>
      <c r="I69" s="304">
        <f t="shared" ref="I69:I132" ca="1" si="42">SQRT(vit_x^2+vit_z^2)</f>
        <v>55.578028821253156</v>
      </c>
      <c r="J69" s="306">
        <f t="shared" ref="J69:J132" ca="1" si="43">J68+0.5*(vit_x+G68)*pas*(K68&gt;=0)</f>
        <v>1.6043585120176278</v>
      </c>
      <c r="K69" s="307">
        <f t="shared" ref="K69:K132" ca="1" si="44">K68+0.5*(vit_z+H68)*pas</f>
        <v>17.642808105050591</v>
      </c>
      <c r="L69" s="304">
        <f t="shared" ca="1" si="29"/>
        <v>17.715604535739732</v>
      </c>
      <c r="M69" s="306">
        <f t="shared" ref="M69:M132" ca="1" si="45">IF(AND(L68&gt;L_rampe,G69&gt;0),ATAN2(G69,H69),$M$4)</f>
        <v>1.4762528679206031</v>
      </c>
      <c r="N69" s="304">
        <f t="shared" ref="N69:N132" ca="1" si="46">DEGREES(Beta)</f>
        <v>84.583058825934316</v>
      </c>
      <c r="P69" s="310">
        <f t="shared" ref="P69:P132" ca="1" si="47">MATCH(t-pas/2-T_ini,CdP_t)</f>
        <v>3</v>
      </c>
      <c r="Q69" s="304">
        <f t="shared" ref="Q69:Q132" ca="1" si="48">(INDEX(CdP,2,i_P+1)-INDEX(CdP,2,i_P+0))/(INDEX(CdP,1,i_P+1)-INDEX(CdP,1,i_P+0))*(t-pas/2-T_ini-INDEX(CdP,1,i_P+0))+INDEX(CdP,2,i_P+0)</f>
        <v>780.89</v>
      </c>
      <c r="R69" s="306">
        <f t="shared" ref="R69:R132" ca="1" si="49">Poussee/(g*ISP)</f>
        <v>0.39189230799127461</v>
      </c>
      <c r="S69" s="307">
        <f t="shared" ref="S69:S132" ca="1" si="50">S68-Débit*pas</f>
        <v>8.253447804573522</v>
      </c>
      <c r="T69" s="304">
        <f t="shared" ca="1" si="30"/>
        <v>80.966322962866258</v>
      </c>
      <c r="U69" s="311">
        <f t="shared" ca="1" si="31"/>
        <v>0</v>
      </c>
      <c r="V69" s="306">
        <f t="shared" ca="1" si="32"/>
        <v>1.2228406608474465</v>
      </c>
      <c r="W69" s="304">
        <f t="shared" ca="1" si="33"/>
        <v>9.9859883240936131</v>
      </c>
      <c r="Y69" s="314" t="str">
        <f t="shared" ref="Y69:Y132" ca="1" si="51">IF(AND(pos_z&lt;=0,K68&gt;0),"Impact balistique","") &amp; IF(AND(H70&lt;0,vit_z&gt;=0),"Apogée","") &amp; IF(AND(Poussee=0,Q68&gt;0),"Fin de propulsion","") &amp; IF(AND(L70&gt;L_rampe,pos_xz&lt;=L_rampe),"Sortie de rampe","")</f>
        <v/>
      </c>
      <c r="Z69" s="315" t="str">
        <f t="shared" ref="Z69:Z132" ca="1" si="52">IF(ABS(t-T_para)&lt;pas/2,"Para","")</f>
        <v/>
      </c>
      <c r="AA69" s="316" t="str">
        <f t="shared" ref="AA69:AA132" ca="1" si="53">IF(ABS(t-T_satellite)&lt;pas/2,"Satellite","")</f>
        <v/>
      </c>
      <c r="AC69" s="310" t="e">
        <f t="shared" ref="AC69:AC132" ca="1" si="54">IF(ABS(t-ROUND(t,0))&lt;0.001,t,NA())</f>
        <v>#N/A</v>
      </c>
      <c r="AD69" s="323" t="e">
        <f t="shared" ref="AD69:AD132" ca="1" si="55">IF(ABS(t-ROUND(t,0))&lt;0.001,pos_x,NA())</f>
        <v>#N/A</v>
      </c>
      <c r="AE69" s="324">
        <f t="shared" ca="1" si="34"/>
        <v>17.642808105050591</v>
      </c>
      <c r="AG69" s="306">
        <f t="shared" ref="AG69:AG132" ca="1" si="56">IF(AND(L68&lt;L_rampe,Poussee&lt;Poids*SIN(M68)),0,(-W68+Poussee)/m-Poids*SIN(M68)/m)</f>
        <v>83.673624515492278</v>
      </c>
      <c r="AH69" s="304">
        <f t="shared" ref="AH69:AH132" ca="1" si="57">IF(AND(L68&lt;L_rampe,Poussee&lt;Poids*SIN(M68)), g*SIN(M68), (-W68+Poussee)/m)</f>
        <v>93.439967897030684</v>
      </c>
    </row>
    <row r="70" spans="1:34" x14ac:dyDescent="0.2">
      <c r="A70" s="347">
        <f t="shared" ca="1" si="35"/>
        <v>0.01</v>
      </c>
      <c r="B70" s="304">
        <f t="shared" ca="1" si="36"/>
        <v>0.66000000000000036</v>
      </c>
      <c r="D70" s="306">
        <f t="shared" ca="1" si="37"/>
        <v>8.8082550585291219</v>
      </c>
      <c r="E70" s="307">
        <f t="shared" ca="1" si="38"/>
        <v>83.078449565744336</v>
      </c>
      <c r="F70" s="304">
        <f t="shared" ca="1" si="39"/>
        <v>83.544085005606647</v>
      </c>
      <c r="G70" s="306">
        <f t="shared" ca="1" si="40"/>
        <v>5.3347972110111606</v>
      </c>
      <c r="H70" s="307">
        <f t="shared" ca="1" si="41"/>
        <v>56.160607131629433</v>
      </c>
      <c r="I70" s="304">
        <f t="shared" ca="1" si="42"/>
        <v>56.413419101095435</v>
      </c>
      <c r="J70" s="306">
        <f t="shared" ca="1" si="43"/>
        <v>1.6572660713748129</v>
      </c>
      <c r="K70" s="307">
        <f t="shared" ca="1" si="44"/>
        <v>18.200260253888597</v>
      </c>
      <c r="L70" s="304">
        <f t="shared" ca="1" si="29"/>
        <v>18.27555756032103</v>
      </c>
      <c r="M70" s="306">
        <f t="shared" ca="1" si="45"/>
        <v>1.476088706578718</v>
      </c>
      <c r="N70" s="304">
        <f t="shared" ca="1" si="46"/>
        <v>84.573653073885097</v>
      </c>
      <c r="P70" s="310">
        <f t="shared" ca="1" si="47"/>
        <v>3</v>
      </c>
      <c r="Q70" s="304">
        <f t="shared" ca="1" si="48"/>
        <v>779.70999999999992</v>
      </c>
      <c r="R70" s="306">
        <f t="shared" ca="1" si="49"/>
        <v>0.39130012096950489</v>
      </c>
      <c r="S70" s="307">
        <f t="shared" ca="1" si="50"/>
        <v>8.2495348033638276</v>
      </c>
      <c r="T70" s="304">
        <f t="shared" ca="1" si="30"/>
        <v>80.92793642099916</v>
      </c>
      <c r="U70" s="311">
        <f t="shared" ca="1" si="31"/>
        <v>0</v>
      </c>
      <c r="V70" s="306">
        <f t="shared" ca="1" si="32"/>
        <v>1.2227724951772734</v>
      </c>
      <c r="W70" s="304">
        <f t="shared" ca="1" si="33"/>
        <v>10.287868612851705</v>
      </c>
      <c r="Y70" s="314" t="str">
        <f t="shared" ca="1" si="51"/>
        <v/>
      </c>
      <c r="Z70" s="315" t="str">
        <f t="shared" ca="1" si="52"/>
        <v/>
      </c>
      <c r="AA70" s="316" t="str">
        <f t="shared" ca="1" si="53"/>
        <v/>
      </c>
      <c r="AC70" s="310" t="e">
        <f t="shared" ca="1" si="54"/>
        <v>#N/A</v>
      </c>
      <c r="AD70" s="323" t="e">
        <f t="shared" ca="1" si="55"/>
        <v>#N/A</v>
      </c>
      <c r="AE70" s="324">
        <f t="shared" ca="1" si="34"/>
        <v>18.200260253888597</v>
      </c>
      <c r="AG70" s="306">
        <f t="shared" ca="1" si="56"/>
        <v>83.538951970118575</v>
      </c>
      <c r="AH70" s="304">
        <f t="shared" ca="1" si="57"/>
        <v>93.305141444102276</v>
      </c>
    </row>
    <row r="71" spans="1:34" x14ac:dyDescent="0.2">
      <c r="A71" s="347">
        <f t="shared" ca="1" si="35"/>
        <v>0.01</v>
      </c>
      <c r="B71" s="304">
        <f t="shared" ca="1" si="36"/>
        <v>0.67000000000000037</v>
      </c>
      <c r="D71" s="306">
        <f t="shared" ca="1" si="37"/>
        <v>8.8106893846689669</v>
      </c>
      <c r="E71" s="307">
        <f t="shared" ca="1" si="38"/>
        <v>82.942103879394608</v>
      </c>
      <c r="F71" s="304">
        <f t="shared" ca="1" si="39"/>
        <v>83.408757593992519</v>
      </c>
      <c r="G71" s="306">
        <f t="shared" ca="1" si="40"/>
        <v>5.4229041048578503</v>
      </c>
      <c r="H71" s="307">
        <f t="shared" ca="1" si="41"/>
        <v>56.990028170423379</v>
      </c>
      <c r="I71" s="304">
        <f t="shared" ca="1" si="42"/>
        <v>57.247455836885315</v>
      </c>
      <c r="J71" s="306">
        <f t="shared" ca="1" si="43"/>
        <v>1.7110545779541579</v>
      </c>
      <c r="K71" s="307">
        <f t="shared" ca="1" si="44"/>
        <v>18.766013430398861</v>
      </c>
      <c r="L71" s="304">
        <f t="shared" ca="1" si="29"/>
        <v>18.843857562575881</v>
      </c>
      <c r="M71" s="306">
        <f t="shared" ca="1" si="45"/>
        <v>1.4759266568487137</v>
      </c>
      <c r="N71" s="304">
        <f t="shared" ca="1" si="46"/>
        <v>84.564368308284614</v>
      </c>
      <c r="P71" s="310">
        <f t="shared" ca="1" si="47"/>
        <v>3</v>
      </c>
      <c r="Q71" s="304">
        <f t="shared" ca="1" si="48"/>
        <v>778.53</v>
      </c>
      <c r="R71" s="306">
        <f t="shared" ca="1" si="49"/>
        <v>0.39070793394773529</v>
      </c>
      <c r="S71" s="307">
        <f t="shared" ca="1" si="50"/>
        <v>8.2456277240243505</v>
      </c>
      <c r="T71" s="304">
        <f t="shared" ca="1" si="30"/>
        <v>80.889607972678888</v>
      </c>
      <c r="U71" s="311">
        <f t="shared" ca="1" si="31"/>
        <v>0</v>
      </c>
      <c r="V71" s="306">
        <f t="shared" ca="1" si="32"/>
        <v>1.2227033183327269</v>
      </c>
      <c r="W71" s="304">
        <f t="shared" ca="1" si="33"/>
        <v>10.593717215902016</v>
      </c>
      <c r="Y71" s="314" t="str">
        <f t="shared" ca="1" si="51"/>
        <v/>
      </c>
      <c r="Z71" s="315" t="str">
        <f t="shared" ca="1" si="52"/>
        <v/>
      </c>
      <c r="AA71" s="316" t="str">
        <f t="shared" ca="1" si="53"/>
        <v/>
      </c>
      <c r="AC71" s="310" t="e">
        <f t="shared" ca="1" si="54"/>
        <v>#N/A</v>
      </c>
      <c r="AD71" s="323" t="e">
        <f t="shared" ca="1" si="55"/>
        <v>#N/A</v>
      </c>
      <c r="AE71" s="324">
        <f t="shared" ca="1" si="34"/>
        <v>18.766013430398861</v>
      </c>
      <c r="AG71" s="306">
        <f t="shared" ca="1" si="56"/>
        <v>83.403598412749517</v>
      </c>
      <c r="AH71" s="304">
        <f t="shared" ca="1" si="57"/>
        <v>93.169635726920859</v>
      </c>
    </row>
    <row r="72" spans="1:34" x14ac:dyDescent="0.2">
      <c r="A72" s="347">
        <f t="shared" ca="1" si="35"/>
        <v>0.01</v>
      </c>
      <c r="B72" s="304">
        <f t="shared" ca="1" si="36"/>
        <v>0.68000000000000038</v>
      </c>
      <c r="D72" s="306">
        <f t="shared" ca="1" si="37"/>
        <v>8.8128195017672812</v>
      </c>
      <c r="E72" s="307">
        <f t="shared" ca="1" si="38"/>
        <v>82.805104740034594</v>
      </c>
      <c r="F72" s="304">
        <f t="shared" ca="1" si="39"/>
        <v>83.272751597259173</v>
      </c>
      <c r="G72" s="306">
        <f t="shared" ca="1" si="40"/>
        <v>5.5110322998755228</v>
      </c>
      <c r="H72" s="307">
        <f t="shared" ca="1" si="41"/>
        <v>57.818079217823723</v>
      </c>
      <c r="I72" s="304">
        <f t="shared" ca="1" si="42"/>
        <v>58.08013224372695</v>
      </c>
      <c r="J72" s="306">
        <f t="shared" ca="1" si="43"/>
        <v>1.7657242599778249</v>
      </c>
      <c r="K72" s="307">
        <f t="shared" ca="1" si="44"/>
        <v>19.340053967340097</v>
      </c>
      <c r="L72" s="304">
        <f t="shared" ca="1" si="29"/>
        <v>19.420490972730367</v>
      </c>
      <c r="M72" s="306">
        <f t="shared" ca="1" si="45"/>
        <v>1.4757666578935278</v>
      </c>
      <c r="N72" s="304">
        <f t="shared" ca="1" si="46"/>
        <v>84.555201043425953</v>
      </c>
      <c r="P72" s="310">
        <f t="shared" ca="1" si="47"/>
        <v>3</v>
      </c>
      <c r="Q72" s="304">
        <f t="shared" ca="1" si="48"/>
        <v>777.34999999999991</v>
      </c>
      <c r="R72" s="306">
        <f t="shared" ca="1" si="49"/>
        <v>0.39011574692596562</v>
      </c>
      <c r="S72" s="307">
        <f t="shared" ca="1" si="50"/>
        <v>8.2417265665550907</v>
      </c>
      <c r="T72" s="304">
        <f t="shared" ca="1" si="30"/>
        <v>80.851337617905443</v>
      </c>
      <c r="U72" s="311">
        <f t="shared" ca="1" si="31"/>
        <v>0</v>
      </c>
      <c r="V72" s="306">
        <f t="shared" ca="1" si="32"/>
        <v>1.2226331321565924</v>
      </c>
      <c r="W72" s="304">
        <f t="shared" ca="1" si="33"/>
        <v>10.90350826744694</v>
      </c>
      <c r="Y72" s="314" t="str">
        <f t="shared" ca="1" si="51"/>
        <v/>
      </c>
      <c r="Z72" s="315" t="str">
        <f t="shared" ca="1" si="52"/>
        <v/>
      </c>
      <c r="AA72" s="316" t="str">
        <f t="shared" ca="1" si="53"/>
        <v/>
      </c>
      <c r="AC72" s="310" t="e">
        <f t="shared" ca="1" si="54"/>
        <v>#N/A</v>
      </c>
      <c r="AD72" s="323" t="e">
        <f t="shared" ca="1" si="55"/>
        <v>#N/A</v>
      </c>
      <c r="AE72" s="324">
        <f t="shared" ca="1" si="34"/>
        <v>19.340053967340097</v>
      </c>
      <c r="AG72" s="306">
        <f t="shared" ca="1" si="56"/>
        <v>83.267566342565473</v>
      </c>
      <c r="AH72" s="304">
        <f t="shared" ca="1" si="57"/>
        <v>93.03345319603217</v>
      </c>
    </row>
    <row r="73" spans="1:34" x14ac:dyDescent="0.2">
      <c r="A73" s="347">
        <f t="shared" ca="1" si="35"/>
        <v>0.01</v>
      </c>
      <c r="B73" s="304">
        <f t="shared" ca="1" si="36"/>
        <v>0.69000000000000039</v>
      </c>
      <c r="D73" s="306">
        <f t="shared" ca="1" si="37"/>
        <v>8.8146518113750556</v>
      </c>
      <c r="E73" s="307">
        <f t="shared" ca="1" si="38"/>
        <v>82.667454127628332</v>
      </c>
      <c r="F73" s="304">
        <f t="shared" ca="1" si="39"/>
        <v>83.136069539636722</v>
      </c>
      <c r="G73" s="306">
        <f t="shared" ca="1" si="40"/>
        <v>5.599178817989273</v>
      </c>
      <c r="H73" s="307">
        <f t="shared" ca="1" si="41"/>
        <v>58.644753759100006</v>
      </c>
      <c r="I73" s="304">
        <f t="shared" ca="1" si="42"/>
        <v>58.911441561901142</v>
      </c>
      <c r="J73" s="306">
        <f t="shared" ca="1" si="43"/>
        <v>1.8212753155671488</v>
      </c>
      <c r="K73" s="307">
        <f t="shared" ca="1" si="44"/>
        <v>19.922368132224715</v>
      </c>
      <c r="L73" s="304">
        <f t="shared" ca="1" si="29"/>
        <v>20.005444153304296</v>
      </c>
      <c r="M73" s="306">
        <f t="shared" ca="1" si="45"/>
        <v>1.4756086514787079</v>
      </c>
      <c r="N73" s="304">
        <f t="shared" ca="1" si="46"/>
        <v>84.546147942720779</v>
      </c>
      <c r="P73" s="310">
        <f t="shared" ca="1" si="47"/>
        <v>3</v>
      </c>
      <c r="Q73" s="304">
        <f t="shared" ca="1" si="48"/>
        <v>776.17</v>
      </c>
      <c r="R73" s="306">
        <f t="shared" ca="1" si="49"/>
        <v>0.38952355990419596</v>
      </c>
      <c r="S73" s="307">
        <f t="shared" ca="1" si="50"/>
        <v>8.2378313309560482</v>
      </c>
      <c r="T73" s="304">
        <f t="shared" ca="1" si="30"/>
        <v>80.813125356678839</v>
      </c>
      <c r="U73" s="311">
        <f t="shared" ca="1" si="31"/>
        <v>0</v>
      </c>
      <c r="V73" s="306">
        <f t="shared" ca="1" si="32"/>
        <v>1.2225619385017374</v>
      </c>
      <c r="W73" s="304">
        <f t="shared" ca="1" si="33"/>
        <v>11.21721578874152</v>
      </c>
      <c r="Y73" s="314" t="str">
        <f t="shared" ca="1" si="51"/>
        <v/>
      </c>
      <c r="Z73" s="315" t="str">
        <f t="shared" ca="1" si="52"/>
        <v/>
      </c>
      <c r="AA73" s="316" t="str">
        <f t="shared" ca="1" si="53"/>
        <v/>
      </c>
      <c r="AC73" s="310" t="e">
        <f t="shared" ca="1" si="54"/>
        <v>#N/A</v>
      </c>
      <c r="AD73" s="323" t="e">
        <f t="shared" ca="1" si="55"/>
        <v>#N/A</v>
      </c>
      <c r="AE73" s="324">
        <f t="shared" ca="1" si="34"/>
        <v>19.922368132224715</v>
      </c>
      <c r="AG73" s="306">
        <f t="shared" ca="1" si="56"/>
        <v>83.130858278187759</v>
      </c>
      <c r="AH73" s="304">
        <f t="shared" ca="1" si="57"/>
        <v>92.896596323457302</v>
      </c>
    </row>
    <row r="74" spans="1:34" x14ac:dyDescent="0.2">
      <c r="A74" s="347">
        <f t="shared" ca="1" si="35"/>
        <v>0.01</v>
      </c>
      <c r="B74" s="304">
        <f t="shared" ca="1" si="36"/>
        <v>0.7000000000000004</v>
      </c>
      <c r="D74" s="306">
        <f t="shared" ca="1" si="37"/>
        <v>8.8161924530528601</v>
      </c>
      <c r="E74" s="307">
        <f t="shared" ca="1" si="38"/>
        <v>82.529154063272088</v>
      </c>
      <c r="F74" s="304">
        <f t="shared" ca="1" si="39"/>
        <v>82.998713964546255</v>
      </c>
      <c r="G74" s="306">
        <f t="shared" ca="1" si="40"/>
        <v>5.6873407425198019</v>
      </c>
      <c r="H74" s="307">
        <f t="shared" ca="1" si="41"/>
        <v>59.470045299732725</v>
      </c>
      <c r="I74" s="304">
        <f t="shared" ca="1" si="42"/>
        <v>59.741377057059772</v>
      </c>
      <c r="J74" s="306">
        <f t="shared" ca="1" si="43"/>
        <v>1.8777079133696941</v>
      </c>
      <c r="K74" s="307">
        <f t="shared" ca="1" si="44"/>
        <v>20.51294212751888</v>
      </c>
      <c r="L74" s="304">
        <f t="shared" ca="1" si="29"/>
        <v>20.598703399361572</v>
      </c>
      <c r="M74" s="306">
        <f t="shared" ca="1" si="45"/>
        <v>1.4754525818246791</v>
      </c>
      <c r="N74" s="304">
        <f t="shared" ca="1" si="46"/>
        <v>84.537205810234866</v>
      </c>
      <c r="P74" s="310">
        <f t="shared" ca="1" si="47"/>
        <v>3</v>
      </c>
      <c r="Q74" s="304">
        <f t="shared" ca="1" si="48"/>
        <v>774.99</v>
      </c>
      <c r="R74" s="306">
        <f t="shared" ca="1" si="49"/>
        <v>0.38893137288242635</v>
      </c>
      <c r="S74" s="307">
        <f t="shared" ca="1" si="50"/>
        <v>8.2339420172272249</v>
      </c>
      <c r="T74" s="304">
        <f t="shared" ca="1" si="30"/>
        <v>80.774971188999075</v>
      </c>
      <c r="U74" s="311">
        <f t="shared" ca="1" si="31"/>
        <v>0</v>
      </c>
      <c r="V74" s="306">
        <f t="shared" ca="1" si="32"/>
        <v>1.2224897392310727</v>
      </c>
      <c r="W74" s="304">
        <f t="shared" ca="1" si="33"/>
        <v>11.534813689745894</v>
      </c>
      <c r="Y74" s="314" t="str">
        <f t="shared" ca="1" si="51"/>
        <v/>
      </c>
      <c r="Z74" s="315" t="str">
        <f t="shared" ca="1" si="52"/>
        <v/>
      </c>
      <c r="AA74" s="316" t="str">
        <f t="shared" ca="1" si="53"/>
        <v/>
      </c>
      <c r="AC74" s="310" t="e">
        <f t="shared" ca="1" si="54"/>
        <v>#N/A</v>
      </c>
      <c r="AD74" s="323" t="e">
        <f t="shared" ca="1" si="55"/>
        <v>#N/A</v>
      </c>
      <c r="AE74" s="324">
        <f t="shared" ca="1" si="34"/>
        <v>20.51294212751888</v>
      </c>
      <c r="AG74" s="306">
        <f t="shared" ca="1" si="56"/>
        <v>82.993476757625743</v>
      </c>
      <c r="AH74" s="304">
        <f t="shared" ca="1" si="57"/>
        <v>92.759067602525874</v>
      </c>
    </row>
    <row r="75" spans="1:34" x14ac:dyDescent="0.2">
      <c r="A75" s="347">
        <f t="shared" ca="1" si="35"/>
        <v>0.01</v>
      </c>
      <c r="B75" s="304">
        <f t="shared" ca="1" si="36"/>
        <v>0.71000000000000041</v>
      </c>
      <c r="D75" s="306">
        <f t="shared" ca="1" si="37"/>
        <v>8.8174473193540379</v>
      </c>
      <c r="E75" s="307">
        <f t="shared" ca="1" si="38"/>
        <v>82.390206607924256</v>
      </c>
      <c r="F75" s="304">
        <f t="shared" ca="1" si="39"/>
        <v>82.860687434549021</v>
      </c>
      <c r="G75" s="306">
        <f t="shared" ca="1" si="40"/>
        <v>5.7755152157133427</v>
      </c>
      <c r="H75" s="307">
        <f t="shared" ca="1" si="41"/>
        <v>60.293947365811967</v>
      </c>
      <c r="I75" s="304">
        <f t="shared" ca="1" si="42"/>
        <v>60.569932020419508</v>
      </c>
      <c r="J75" s="306">
        <f t="shared" ca="1" si="43"/>
        <v>1.9350221931608598</v>
      </c>
      <c r="K75" s="307">
        <f t="shared" ca="1" si="44"/>
        <v>21.111762090846604</v>
      </c>
      <c r="L75" s="304">
        <f t="shared" ca="1" si="29"/>
        <v>21.200254938762711</v>
      </c>
      <c r="M75" s="306">
        <f t="shared" ca="1" si="45"/>
        <v>1.4752983954693977</v>
      </c>
      <c r="N75" s="304">
        <f t="shared" ca="1" si="46"/>
        <v>84.528371582818735</v>
      </c>
      <c r="P75" s="310">
        <f t="shared" ca="1" si="47"/>
        <v>3</v>
      </c>
      <c r="Q75" s="304">
        <f t="shared" ca="1" si="48"/>
        <v>773.81</v>
      </c>
      <c r="R75" s="306">
        <f t="shared" ca="1" si="49"/>
        <v>0.38833918586065669</v>
      </c>
      <c r="S75" s="307">
        <f t="shared" ca="1" si="50"/>
        <v>8.2300586253686188</v>
      </c>
      <c r="T75" s="304">
        <f t="shared" ca="1" si="30"/>
        <v>80.736875114866152</v>
      </c>
      <c r="U75" s="311">
        <f t="shared" ca="1" si="31"/>
        <v>0</v>
      </c>
      <c r="V75" s="306">
        <f t="shared" ca="1" si="32"/>
        <v>1.2224165362175086</v>
      </c>
      <c r="W75" s="304">
        <f t="shared" ca="1" si="33"/>
        <v>11.856275770783716</v>
      </c>
      <c r="Y75" s="314" t="str">
        <f t="shared" ca="1" si="51"/>
        <v/>
      </c>
      <c r="Z75" s="315" t="str">
        <f t="shared" ca="1" si="52"/>
        <v/>
      </c>
      <c r="AA75" s="316" t="str">
        <f t="shared" ca="1" si="53"/>
        <v/>
      </c>
      <c r="AC75" s="310" t="e">
        <f t="shared" ca="1" si="54"/>
        <v>#N/A</v>
      </c>
      <c r="AD75" s="323" t="e">
        <f t="shared" ca="1" si="55"/>
        <v>#N/A</v>
      </c>
      <c r="AE75" s="324">
        <f t="shared" ca="1" si="34"/>
        <v>21.111762090846604</v>
      </c>
      <c r="AG75" s="306">
        <f t="shared" ca="1" si="56"/>
        <v>82.855424338214803</v>
      </c>
      <c r="AH75" s="304">
        <f t="shared" ca="1" si="57"/>
        <v>92.620869547707784</v>
      </c>
    </row>
    <row r="76" spans="1:34" x14ac:dyDescent="0.2">
      <c r="A76" s="347">
        <f t="shared" ca="1" si="35"/>
        <v>0.01</v>
      </c>
      <c r="B76" s="304">
        <f t="shared" ca="1" si="36"/>
        <v>0.72000000000000042</v>
      </c>
      <c r="D76" s="306">
        <f t="shared" ca="1" si="37"/>
        <v>8.8184220697550568</v>
      </c>
      <c r="E76" s="307">
        <f t="shared" ca="1" si="38"/>
        <v>82.250613861209445</v>
      </c>
      <c r="F76" s="304">
        <f t="shared" ca="1" si="39"/>
        <v>82.721992531285906</v>
      </c>
      <c r="G76" s="306">
        <f t="shared" ca="1" si="40"/>
        <v>5.8636994364108936</v>
      </c>
      <c r="H76" s="307">
        <f t="shared" ca="1" si="41"/>
        <v>61.116453504424058</v>
      </c>
      <c r="I76" s="304">
        <f t="shared" ca="1" si="42"/>
        <v>61.397099768954824</v>
      </c>
      <c r="J76" s="306">
        <f t="shared" ca="1" si="43"/>
        <v>1.993218266421481</v>
      </c>
      <c r="K76" s="307">
        <f t="shared" ca="1" si="44"/>
        <v>21.718814095197782</v>
      </c>
      <c r="L76" s="304">
        <f t="shared" ca="1" si="29"/>
        <v>21.810084932419638</v>
      </c>
      <c r="M76" s="306">
        <f t="shared" ca="1" si="45"/>
        <v>1.4751460411405248</v>
      </c>
      <c r="N76" s="304">
        <f t="shared" ca="1" si="46"/>
        <v>84.519642322783781</v>
      </c>
      <c r="P76" s="310">
        <f t="shared" ca="1" si="47"/>
        <v>3</v>
      </c>
      <c r="Q76" s="304">
        <f t="shared" ca="1" si="48"/>
        <v>772.63</v>
      </c>
      <c r="R76" s="306">
        <f t="shared" ca="1" si="49"/>
        <v>0.38774699883888702</v>
      </c>
      <c r="S76" s="307">
        <f t="shared" ca="1" si="50"/>
        <v>8.22618115538023</v>
      </c>
      <c r="T76" s="304">
        <f t="shared" ca="1" si="30"/>
        <v>80.698837134280055</v>
      </c>
      <c r="U76" s="311">
        <f t="shared" ca="1" si="31"/>
        <v>0</v>
      </c>
      <c r="V76" s="306">
        <f t="shared" ca="1" si="32"/>
        <v>1.2223423313439117</v>
      </c>
      <c r="W76" s="304">
        <f t="shared" ca="1" si="33"/>
        <v>12.181575724206448</v>
      </c>
      <c r="Y76" s="314" t="str">
        <f t="shared" ca="1" si="51"/>
        <v/>
      </c>
      <c r="Z76" s="315" t="str">
        <f t="shared" ca="1" si="52"/>
        <v/>
      </c>
      <c r="AA76" s="316" t="str">
        <f t="shared" ca="1" si="53"/>
        <v/>
      </c>
      <c r="AC76" s="310" t="e">
        <f t="shared" ca="1" si="54"/>
        <v>#N/A</v>
      </c>
      <c r="AD76" s="323" t="e">
        <f t="shared" ca="1" si="55"/>
        <v>#N/A</v>
      </c>
      <c r="AE76" s="324">
        <f t="shared" ca="1" si="34"/>
        <v>21.718814095197782</v>
      </c>
      <c r="AG76" s="306">
        <f t="shared" ca="1" si="56"/>
        <v>82.716703596545315</v>
      </c>
      <c r="AH76" s="304">
        <f t="shared" ca="1" si="57"/>
        <v>92.482004694443404</v>
      </c>
    </row>
    <row r="77" spans="1:34" x14ac:dyDescent="0.2">
      <c r="A77" s="347">
        <f t="shared" ca="1" si="35"/>
        <v>0.01</v>
      </c>
      <c r="B77" s="304">
        <f t="shared" ca="1" si="36"/>
        <v>0.73000000000000043</v>
      </c>
      <c r="D77" s="306">
        <f t="shared" ca="1" si="37"/>
        <v>8.819122143620751</v>
      </c>
      <c r="E77" s="307">
        <f t="shared" ca="1" si="38"/>
        <v>82.110377960290847</v>
      </c>
      <c r="F77" s="304">
        <f t="shared" ca="1" si="39"/>
        <v>82.582631855408422</v>
      </c>
      <c r="G77" s="306">
        <f t="shared" ca="1" si="40"/>
        <v>5.9518906578471009</v>
      </c>
      <c r="H77" s="307">
        <f t="shared" ca="1" si="41"/>
        <v>61.937557284026965</v>
      </c>
      <c r="I77" s="304">
        <f t="shared" ca="1" si="42"/>
        <v>62.222873645590248</v>
      </c>
      <c r="J77" s="306">
        <f t="shared" ca="1" si="43"/>
        <v>2.052296216892771</v>
      </c>
      <c r="K77" s="307">
        <f t="shared" ca="1" si="44"/>
        <v>22.334084149140036</v>
      </c>
      <c r="L77" s="304">
        <f t="shared" ca="1" si="29"/>
        <v>22.428179474552557</v>
      </c>
      <c r="M77" s="306">
        <f t="shared" ca="1" si="45"/>
        <v>1.4749954696363392</v>
      </c>
      <c r="N77" s="304">
        <f t="shared" ca="1" si="46"/>
        <v>84.511015211078998</v>
      </c>
      <c r="P77" s="310">
        <f t="shared" ca="1" si="47"/>
        <v>3</v>
      </c>
      <c r="Q77" s="304">
        <f t="shared" ca="1" si="48"/>
        <v>771.44999999999993</v>
      </c>
      <c r="R77" s="306">
        <f t="shared" ca="1" si="49"/>
        <v>0.38715481181711736</v>
      </c>
      <c r="S77" s="307">
        <f t="shared" ca="1" si="50"/>
        <v>8.2223096072620585</v>
      </c>
      <c r="T77" s="304">
        <f t="shared" ca="1" si="30"/>
        <v>80.660857247240799</v>
      </c>
      <c r="U77" s="311">
        <f t="shared" ca="1" si="31"/>
        <v>0</v>
      </c>
      <c r="V77" s="306">
        <f t="shared" ca="1" si="32"/>
        <v>1.2222671265030627</v>
      </c>
      <c r="W77" s="304">
        <f t="shared" ca="1" si="33"/>
        <v>12.510687136063371</v>
      </c>
      <c r="Y77" s="314" t="str">
        <f t="shared" ca="1" si="51"/>
        <v/>
      </c>
      <c r="Z77" s="315" t="str">
        <f t="shared" ca="1" si="52"/>
        <v/>
      </c>
      <c r="AA77" s="316" t="str">
        <f t="shared" ca="1" si="53"/>
        <v/>
      </c>
      <c r="AC77" s="310" t="e">
        <f t="shared" ca="1" si="54"/>
        <v>#N/A</v>
      </c>
      <c r="AD77" s="323" t="e">
        <f t="shared" ca="1" si="55"/>
        <v>#N/A</v>
      </c>
      <c r="AE77" s="324">
        <f t="shared" ca="1" si="34"/>
        <v>22.334084149140036</v>
      </c>
      <c r="AG77" s="306">
        <f t="shared" ca="1" si="56"/>
        <v>82.577317128383569</v>
      </c>
      <c r="AH77" s="304">
        <f t="shared" ca="1" si="57"/>
        <v>92.342475598972456</v>
      </c>
    </row>
    <row r="78" spans="1:34" x14ac:dyDescent="0.2">
      <c r="A78" s="347">
        <f t="shared" ca="1" si="35"/>
        <v>0.01</v>
      </c>
      <c r="B78" s="304">
        <f t="shared" ca="1" si="36"/>
        <v>0.74000000000000044</v>
      </c>
      <c r="D78" s="306">
        <f t="shared" ca="1" si="37"/>
        <v>8.8195527722834921</v>
      </c>
      <c r="E78" s="307">
        <f t="shared" ca="1" si="38"/>
        <v>81.969501078805052</v>
      </c>
      <c r="F78" s="304">
        <f t="shared" ca="1" si="39"/>
        <v>82.442608026501176</v>
      </c>
      <c r="G78" s="306">
        <f t="shared" ca="1" si="40"/>
        <v>6.0400861855699359</v>
      </c>
      <c r="H78" s="307">
        <f t="shared" ca="1" si="41"/>
        <v>62.757252294815018</v>
      </c>
      <c r="I78" s="304">
        <f t="shared" ca="1" si="42"/>
        <v>63.047247019391556</v>
      </c>
      <c r="J78" s="306">
        <f t="shared" ca="1" si="43"/>
        <v>2.112256101109856</v>
      </c>
      <c r="K78" s="307">
        <f t="shared" ca="1" si="44"/>
        <v>22.957558197034245</v>
      </c>
      <c r="L78" s="304">
        <f t="shared" ca="1" si="29"/>
        <v>23.054524592948997</v>
      </c>
      <c r="M78" s="306">
        <f t="shared" ca="1" si="45"/>
        <v>1.4748466337146744</v>
      </c>
      <c r="N78" s="304">
        <f t="shared" ca="1" si="46"/>
        <v>84.502487540927675</v>
      </c>
      <c r="P78" s="310">
        <f t="shared" ca="1" si="47"/>
        <v>3</v>
      </c>
      <c r="Q78" s="304">
        <f t="shared" ca="1" si="48"/>
        <v>770.27</v>
      </c>
      <c r="R78" s="306">
        <f t="shared" ca="1" si="49"/>
        <v>0.38656262479534775</v>
      </c>
      <c r="S78" s="307">
        <f t="shared" ca="1" si="50"/>
        <v>8.2184439810141043</v>
      </c>
      <c r="T78" s="304">
        <f t="shared" ca="1" si="30"/>
        <v>80.622935453748369</v>
      </c>
      <c r="U78" s="311">
        <f t="shared" ca="1" si="31"/>
        <v>0</v>
      </c>
      <c r="V78" s="306">
        <f t="shared" ca="1" si="32"/>
        <v>1.2221909235976127</v>
      </c>
      <c r="W78" s="304">
        <f t="shared" ca="1" si="33"/>
        <v>12.843583487777016</v>
      </c>
      <c r="Y78" s="314" t="str">
        <f t="shared" ca="1" si="51"/>
        <v/>
      </c>
      <c r="Z78" s="315" t="str">
        <f t="shared" ca="1" si="52"/>
        <v/>
      </c>
      <c r="AA78" s="316" t="str">
        <f t="shared" ca="1" si="53"/>
        <v/>
      </c>
      <c r="AC78" s="310" t="e">
        <f t="shared" ca="1" si="54"/>
        <v>#N/A</v>
      </c>
      <c r="AD78" s="323" t="e">
        <f t="shared" ca="1" si="55"/>
        <v>#N/A</v>
      </c>
      <c r="AE78" s="324">
        <f t="shared" ca="1" si="34"/>
        <v>22.957558197034245</v>
      </c>
      <c r="AG78" s="306">
        <f t="shared" ca="1" si="56"/>
        <v>82.437267548585325</v>
      </c>
      <c r="AH78" s="304">
        <f t="shared" ca="1" si="57"/>
        <v>92.202284838161532</v>
      </c>
    </row>
    <row r="79" spans="1:34" x14ac:dyDescent="0.2">
      <c r="A79" s="347">
        <f t="shared" ca="1" si="35"/>
        <v>0.01</v>
      </c>
      <c r="B79" s="304">
        <f t="shared" ca="1" si="36"/>
        <v>0.75000000000000044</v>
      </c>
      <c r="D79" s="306">
        <f t="shared" ca="1" si="37"/>
        <v>8.8197189903085018</v>
      </c>
      <c r="E79" s="307">
        <f t="shared" ca="1" si="38"/>
        <v>81.827985425854251</v>
      </c>
      <c r="F79" s="304">
        <f t="shared" ca="1" si="39"/>
        <v>82.301923682996772</v>
      </c>
      <c r="G79" s="306">
        <f t="shared" ca="1" si="40"/>
        <v>6.1282833754730213</v>
      </c>
      <c r="H79" s="307">
        <f t="shared" ca="1" si="41"/>
        <v>63.57553214907356</v>
      </c>
      <c r="I79" s="304">
        <f t="shared" ca="1" si="42"/>
        <v>63.870213285756172</v>
      </c>
      <c r="J79" s="306">
        <f t="shared" ca="1" si="43"/>
        <v>2.1730979489150708</v>
      </c>
      <c r="K79" s="307">
        <f t="shared" ca="1" si="44"/>
        <v>23.589222119253687</v>
      </c>
      <c r="L79" s="304">
        <f t="shared" ca="1" si="29"/>
        <v>23.689106249224903</v>
      </c>
      <c r="M79" s="306">
        <f t="shared" ca="1" si="45"/>
        <v>1.4746994879892441</v>
      </c>
      <c r="N79" s="304">
        <f t="shared" ca="1" si="46"/>
        <v>84.494056711887126</v>
      </c>
      <c r="P79" s="310">
        <f t="shared" ca="1" si="47"/>
        <v>3</v>
      </c>
      <c r="Q79" s="304">
        <f t="shared" ca="1" si="48"/>
        <v>769.08999999999992</v>
      </c>
      <c r="R79" s="306">
        <f t="shared" ca="1" si="49"/>
        <v>0.38597043777357803</v>
      </c>
      <c r="S79" s="307">
        <f t="shared" ca="1" si="50"/>
        <v>8.2145842766363693</v>
      </c>
      <c r="T79" s="304">
        <f t="shared" ca="1" si="30"/>
        <v>80.585071753802779</v>
      </c>
      <c r="U79" s="311">
        <f t="shared" ca="1" si="31"/>
        <v>0</v>
      </c>
      <c r="V79" s="306">
        <f t="shared" ca="1" si="32"/>
        <v>1.2221137245400373</v>
      </c>
      <c r="W79" s="304">
        <f t="shared" ca="1" si="33"/>
        <v>13.180238157823966</v>
      </c>
      <c r="Y79" s="314" t="str">
        <f t="shared" ca="1" si="51"/>
        <v/>
      </c>
      <c r="Z79" s="315" t="str">
        <f t="shared" ca="1" si="52"/>
        <v/>
      </c>
      <c r="AA79" s="316" t="str">
        <f t="shared" ca="1" si="53"/>
        <v/>
      </c>
      <c r="AC79" s="310" t="e">
        <f t="shared" ca="1" si="54"/>
        <v>#N/A</v>
      </c>
      <c r="AD79" s="323" t="e">
        <f t="shared" ca="1" si="55"/>
        <v>#N/A</v>
      </c>
      <c r="AE79" s="324">
        <f t="shared" ca="1" si="34"/>
        <v>23.589222119253687</v>
      </c>
      <c r="AG79" s="306">
        <f t="shared" ca="1" si="56"/>
        <v>82.296557491001863</v>
      </c>
      <c r="AH79" s="304">
        <f t="shared" ca="1" si="57"/>
        <v>92.061435009329969</v>
      </c>
    </row>
    <row r="80" spans="1:34" x14ac:dyDescent="0.2">
      <c r="A80" s="347">
        <f t="shared" ca="1" si="35"/>
        <v>0.01</v>
      </c>
      <c r="B80" s="304">
        <f t="shared" ca="1" si="36"/>
        <v>0.76000000000000045</v>
      </c>
      <c r="D80" s="306">
        <f t="shared" ca="1" si="37"/>
        <v>8.8196256460099853</v>
      </c>
      <c r="E80" s="307">
        <f t="shared" ca="1" si="38"/>
        <v>81.685833245051526</v>
      </c>
      <c r="F80" s="304">
        <f t="shared" ca="1" si="39"/>
        <v>82.160581482083742</v>
      </c>
      <c r="G80" s="306">
        <f t="shared" ca="1" si="40"/>
        <v>6.2164796319331215</v>
      </c>
      <c r="H80" s="307">
        <f t="shared" ca="1" si="41"/>
        <v>64.392390481524075</v>
      </c>
      <c r="I80" s="304">
        <f t="shared" ca="1" si="42"/>
        <v>64.691765866602466</v>
      </c>
      <c r="J80" s="306">
        <f t="shared" ca="1" si="43"/>
        <v>2.2348217639521013</v>
      </c>
      <c r="K80" s="307">
        <f t="shared" ca="1" si="44"/>
        <v>24.229061732406674</v>
      </c>
      <c r="L80" s="304">
        <f t="shared" ca="1" si="29"/>
        <v>24.331910339087791</v>
      </c>
      <c r="M80" s="306">
        <f t="shared" ca="1" si="45"/>
        <v>1.4745539888327659</v>
      </c>
      <c r="N80" s="304">
        <f t="shared" ca="1" si="46"/>
        <v>84.485720224298205</v>
      </c>
      <c r="P80" s="310">
        <f t="shared" ca="1" si="47"/>
        <v>3</v>
      </c>
      <c r="Q80" s="304">
        <f t="shared" ca="1" si="48"/>
        <v>767.91</v>
      </c>
      <c r="R80" s="306">
        <f t="shared" ca="1" si="49"/>
        <v>0.38537825075180843</v>
      </c>
      <c r="S80" s="307">
        <f t="shared" ca="1" si="50"/>
        <v>8.2107304941288515</v>
      </c>
      <c r="T80" s="304">
        <f t="shared" ca="1" si="30"/>
        <v>80.547266147404031</v>
      </c>
      <c r="U80" s="311">
        <f t="shared" ca="1" si="31"/>
        <v>0</v>
      </c>
      <c r="V80" s="306">
        <f t="shared" ca="1" si="32"/>
        <v>1.2220355312525946</v>
      </c>
      <c r="W80" s="304">
        <f t="shared" ca="1" si="33"/>
        <v>13.520624423420823</v>
      </c>
      <c r="Y80" s="314" t="str">
        <f t="shared" ca="1" si="51"/>
        <v/>
      </c>
      <c r="Z80" s="315" t="str">
        <f t="shared" ca="1" si="52"/>
        <v/>
      </c>
      <c r="AA80" s="316" t="str">
        <f t="shared" ca="1" si="53"/>
        <v/>
      </c>
      <c r="AC80" s="310" t="e">
        <f t="shared" ca="1" si="54"/>
        <v>#N/A</v>
      </c>
      <c r="AD80" s="323" t="e">
        <f t="shared" ca="1" si="55"/>
        <v>#N/A</v>
      </c>
      <c r="AE80" s="324">
        <f t="shared" ca="1" si="34"/>
        <v>24.229061732406674</v>
      </c>
      <c r="AG80" s="306">
        <f t="shared" ca="1" si="56"/>
        <v>82.155189608380056</v>
      </c>
      <c r="AH80" s="304">
        <f t="shared" ca="1" si="57"/>
        <v>91.919928730074815</v>
      </c>
    </row>
    <row r="81" spans="1:34" x14ac:dyDescent="0.2">
      <c r="A81" s="347">
        <f t="shared" ca="1" si="35"/>
        <v>0.01</v>
      </c>
      <c r="B81" s="304">
        <f t="shared" ca="1" si="36"/>
        <v>0.77000000000000046</v>
      </c>
      <c r="D81" s="306">
        <f t="shared" ca="1" si="37"/>
        <v>8.819277411277529</v>
      </c>
      <c r="E81" s="307">
        <f t="shared" ca="1" si="38"/>
        <v>81.543046813614481</v>
      </c>
      <c r="F81" s="304">
        <f t="shared" ca="1" si="39"/>
        <v>82.018584099607523</v>
      </c>
      <c r="G81" s="306">
        <f t="shared" ca="1" si="40"/>
        <v>6.3046724060458965</v>
      </c>
      <c r="H81" s="307">
        <f t="shared" ca="1" si="41"/>
        <v>65.207820949660217</v>
      </c>
      <c r="I81" s="304">
        <f t="shared" ca="1" si="42"/>
        <v>65.511898210557931</v>
      </c>
      <c r="J81" s="306">
        <f t="shared" ca="1" si="43"/>
        <v>2.2974275241419964</v>
      </c>
      <c r="K81" s="307">
        <f t="shared" ca="1" si="44"/>
        <v>24.877062789562594</v>
      </c>
      <c r="L81" s="304">
        <f t="shared" ca="1" si="29"/>
        <v>24.982922692601939</v>
      </c>
      <c r="M81" s="306">
        <f t="shared" ca="1" si="45"/>
        <v>1.4744100942863574</v>
      </c>
      <c r="N81" s="304">
        <f t="shared" ca="1" si="46"/>
        <v>84.477475674094052</v>
      </c>
      <c r="P81" s="310">
        <f t="shared" ca="1" si="47"/>
        <v>3</v>
      </c>
      <c r="Q81" s="304">
        <f t="shared" ca="1" si="48"/>
        <v>766.7299999999999</v>
      </c>
      <c r="R81" s="306">
        <f t="shared" ca="1" si="49"/>
        <v>0.38478606373003871</v>
      </c>
      <c r="S81" s="307">
        <f t="shared" ca="1" si="50"/>
        <v>8.206882633491551</v>
      </c>
      <c r="T81" s="304">
        <f t="shared" ca="1" si="30"/>
        <v>80.509518634552123</v>
      </c>
      <c r="U81" s="311">
        <f t="shared" ca="1" si="31"/>
        <v>0</v>
      </c>
      <c r="V81" s="306">
        <f t="shared" ca="1" si="32"/>
        <v>1.2219563456672762</v>
      </c>
      <c r="W81" s="304">
        <f t="shared" ca="1" si="33"/>
        <v>13.864715462215027</v>
      </c>
      <c r="Y81" s="314" t="str">
        <f t="shared" ca="1" si="51"/>
        <v/>
      </c>
      <c r="Z81" s="315" t="str">
        <f t="shared" ca="1" si="52"/>
        <v/>
      </c>
      <c r="AA81" s="316" t="str">
        <f t="shared" ca="1" si="53"/>
        <v/>
      </c>
      <c r="AC81" s="310" t="e">
        <f t="shared" ca="1" si="54"/>
        <v>#N/A</v>
      </c>
      <c r="AD81" s="323" t="e">
        <f t="shared" ca="1" si="55"/>
        <v>#N/A</v>
      </c>
      <c r="AE81" s="324">
        <f t="shared" ca="1" si="34"/>
        <v>24.877062789562594</v>
      </c>
      <c r="AG81" s="306">
        <f t="shared" ca="1" si="56"/>
        <v>82.013166572255727</v>
      </c>
      <c r="AH81" s="304">
        <f t="shared" ca="1" si="57"/>
        <v>91.777768638093988</v>
      </c>
    </row>
    <row r="82" spans="1:34" x14ac:dyDescent="0.2">
      <c r="A82" s="347">
        <f t="shared" ca="1" si="35"/>
        <v>0.01</v>
      </c>
      <c r="B82" s="304">
        <f t="shared" ca="1" si="36"/>
        <v>0.78000000000000047</v>
      </c>
      <c r="D82" s="306">
        <f t="shared" ca="1" si="37"/>
        <v>8.8186787907662119</v>
      </c>
      <c r="E82" s="307">
        <f t="shared" ca="1" si="38"/>
        <v>81.399628441504035</v>
      </c>
      <c r="F82" s="304">
        <f t="shared" ca="1" si="39"/>
        <v>81.875934229965409</v>
      </c>
      <c r="G82" s="306">
        <f t="shared" ca="1" si="40"/>
        <v>6.3928591939535586</v>
      </c>
      <c r="H82" s="307">
        <f t="shared" ca="1" si="41"/>
        <v>66.021817234075257</v>
      </c>
      <c r="I82" s="304">
        <f t="shared" ca="1" si="42"/>
        <v>66.330603793146295</v>
      </c>
      <c r="J82" s="306">
        <f t="shared" ca="1" si="43"/>
        <v>2.3609151821419938</v>
      </c>
      <c r="K82" s="307">
        <f t="shared" ca="1" si="44"/>
        <v>25.533210980481272</v>
      </c>
      <c r="L82" s="304">
        <f t="shared" ca="1" si="29"/>
        <v>25.642129074455536</v>
      </c>
      <c r="M82" s="306">
        <f t="shared" ca="1" si="45"/>
        <v>1.4742677639747206</v>
      </c>
      <c r="N82" s="304">
        <f t="shared" ca="1" si="46"/>
        <v>84.469320747940486</v>
      </c>
      <c r="P82" s="310">
        <f t="shared" ca="1" si="47"/>
        <v>3</v>
      </c>
      <c r="Q82" s="304">
        <f t="shared" ca="1" si="48"/>
        <v>765.55</v>
      </c>
      <c r="R82" s="306">
        <f t="shared" ca="1" si="49"/>
        <v>0.3841938767082691</v>
      </c>
      <c r="S82" s="307">
        <f t="shared" ca="1" si="50"/>
        <v>8.2030406947244678</v>
      </c>
      <c r="T82" s="304">
        <f t="shared" ca="1" si="30"/>
        <v>80.471829215247027</v>
      </c>
      <c r="U82" s="311">
        <f t="shared" ca="1" si="31"/>
        <v>0</v>
      </c>
      <c r="V82" s="306">
        <f t="shared" ca="1" si="32"/>
        <v>1.2218761697257643</v>
      </c>
      <c r="W82" s="304">
        <f t="shared" ca="1" si="33"/>
        <v>14.212484353980576</v>
      </c>
      <c r="Y82" s="314" t="str">
        <f t="shared" ca="1" si="51"/>
        <v/>
      </c>
      <c r="Z82" s="315" t="str">
        <f t="shared" ca="1" si="52"/>
        <v/>
      </c>
      <c r="AA82" s="316" t="str">
        <f t="shared" ca="1" si="53"/>
        <v/>
      </c>
      <c r="AC82" s="310" t="e">
        <f t="shared" ca="1" si="54"/>
        <v>#N/A</v>
      </c>
      <c r="AD82" s="323" t="e">
        <f t="shared" ca="1" si="55"/>
        <v>#N/A</v>
      </c>
      <c r="AE82" s="324">
        <f t="shared" ca="1" si="34"/>
        <v>25.533210980481272</v>
      </c>
      <c r="AG82" s="306">
        <f t="shared" ca="1" si="56"/>
        <v>81.870491072841617</v>
      </c>
      <c r="AH82" s="304">
        <f t="shared" ca="1" si="57"/>
        <v>91.634957391008442</v>
      </c>
    </row>
    <row r="83" spans="1:34" x14ac:dyDescent="0.2">
      <c r="A83" s="347">
        <f t="shared" ca="1" si="35"/>
        <v>0.01</v>
      </c>
      <c r="B83" s="304">
        <f t="shared" ca="1" si="36"/>
        <v>0.79000000000000048</v>
      </c>
      <c r="D83" s="306">
        <f t="shared" ca="1" si="37"/>
        <v>8.8178341304993939</v>
      </c>
      <c r="E83" s="307">
        <f t="shared" ca="1" si="38"/>
        <v>81.255580470604457</v>
      </c>
      <c r="F83" s="304">
        <f t="shared" ca="1" si="39"/>
        <v>81.732634585995555</v>
      </c>
      <c r="G83" s="306">
        <f t="shared" ca="1" si="40"/>
        <v>6.4810375352585528</v>
      </c>
      <c r="H83" s="307">
        <f t="shared" ca="1" si="41"/>
        <v>66.834373038781308</v>
      </c>
      <c r="I83" s="304">
        <f t="shared" ca="1" si="42"/>
        <v>67.147876116973407</v>
      </c>
      <c r="J83" s="306">
        <f t="shared" ca="1" si="43"/>
        <v>2.4252846657880545</v>
      </c>
      <c r="K83" s="307">
        <f t="shared" ca="1" si="44"/>
        <v>26.197491931845555</v>
      </c>
      <c r="L83" s="304">
        <f t="shared" ca="1" si="29"/>
        <v>26.309515184229824</v>
      </c>
      <c r="M83" s="306">
        <f t="shared" ca="1" si="45"/>
        <v>1.4741269590266761</v>
      </c>
      <c r="N83" s="304">
        <f t="shared" ca="1" si="46"/>
        <v>84.46125321868297</v>
      </c>
      <c r="P83" s="310">
        <f t="shared" ca="1" si="47"/>
        <v>3</v>
      </c>
      <c r="Q83" s="304">
        <f t="shared" ca="1" si="48"/>
        <v>764.36999999999989</v>
      </c>
      <c r="R83" s="306">
        <f t="shared" ca="1" si="49"/>
        <v>0.38360168968649944</v>
      </c>
      <c r="S83" s="307">
        <f t="shared" ca="1" si="50"/>
        <v>8.199204677827602</v>
      </c>
      <c r="T83" s="304">
        <f t="shared" ca="1" si="30"/>
        <v>80.434197889488786</v>
      </c>
      <c r="U83" s="311">
        <f t="shared" ca="1" si="31"/>
        <v>0</v>
      </c>
      <c r="V83" s="306">
        <f t="shared" ca="1" si="32"/>
        <v>1.2217950053793849</v>
      </c>
      <c r="W83" s="304">
        <f t="shared" ca="1" si="33"/>
        <v>14.563904082318281</v>
      </c>
      <c r="Y83" s="314" t="str">
        <f t="shared" ca="1" si="51"/>
        <v/>
      </c>
      <c r="Z83" s="315" t="str">
        <f t="shared" ca="1" si="52"/>
        <v/>
      </c>
      <c r="AA83" s="316" t="str">
        <f t="shared" ca="1" si="53"/>
        <v/>
      </c>
      <c r="AC83" s="310" t="e">
        <f t="shared" ca="1" si="54"/>
        <v>#N/A</v>
      </c>
      <c r="AD83" s="323" t="e">
        <f t="shared" ca="1" si="55"/>
        <v>#N/A</v>
      </c>
      <c r="AE83" s="324">
        <f t="shared" ca="1" si="34"/>
        <v>26.197491931845555</v>
      </c>
      <c r="AG83" s="306">
        <f t="shared" ca="1" si="56"/>
        <v>81.727165818909626</v>
      </c>
      <c r="AH83" s="304">
        <f t="shared" ca="1" si="57"/>
        <v>91.491497666182823</v>
      </c>
    </row>
    <row r="84" spans="1:34" x14ac:dyDescent="0.2">
      <c r="A84" s="347">
        <f t="shared" ca="1" si="35"/>
        <v>0.01</v>
      </c>
      <c r="B84" s="304">
        <f t="shared" ca="1" si="36"/>
        <v>0.80000000000000049</v>
      </c>
      <c r="D84" s="306">
        <f t="shared" ca="1" si="37"/>
        <v>8.8167476259286222</v>
      </c>
      <c r="E84" s="307">
        <f t="shared" ca="1" si="38"/>
        <v>81.110905273941697</v>
      </c>
      <c r="F84" s="304">
        <f t="shared" ca="1" si="39"/>
        <v>81.588687898860471</v>
      </c>
      <c r="G84" s="306">
        <f t="shared" ca="1" si="40"/>
        <v>6.5692050115178393</v>
      </c>
      <c r="H84" s="307">
        <f t="shared" ca="1" si="41"/>
        <v>67.645482091520719</v>
      </c>
      <c r="I84" s="304">
        <f t="shared" ca="1" si="42"/>
        <v>67.963708711911849</v>
      </c>
      <c r="J84" s="306">
        <f t="shared" ca="1" si="43"/>
        <v>2.4905358785219365</v>
      </c>
      <c r="K84" s="307">
        <f t="shared" ca="1" si="44"/>
        <v>26.869891207497066</v>
      </c>
      <c r="L84" s="304">
        <f t="shared" ca="1" si="29"/>
        <v>26.985066656670188</v>
      </c>
      <c r="M84" s="306">
        <f t="shared" ca="1" si="45"/>
        <v>1.4739876420006424</v>
      </c>
      <c r="N84" s="304">
        <f t="shared" ca="1" si="46"/>
        <v>84.453270941076923</v>
      </c>
      <c r="P84" s="310">
        <f t="shared" ca="1" si="47"/>
        <v>3</v>
      </c>
      <c r="Q84" s="304">
        <f t="shared" ca="1" si="48"/>
        <v>763.18999999999994</v>
      </c>
      <c r="R84" s="306">
        <f t="shared" ca="1" si="49"/>
        <v>0.38300950266472977</v>
      </c>
      <c r="S84" s="307">
        <f t="shared" ca="1" si="50"/>
        <v>8.1953745828009552</v>
      </c>
      <c r="T84" s="304">
        <f t="shared" ca="1" si="30"/>
        <v>80.396624657277371</v>
      </c>
      <c r="U84" s="311">
        <f t="shared" ca="1" si="31"/>
        <v>0</v>
      </c>
      <c r="V84" s="306">
        <f t="shared" ca="1" si="32"/>
        <v>1.2217128545890603</v>
      </c>
      <c r="W84" s="304">
        <f t="shared" ca="1" si="33"/>
        <v>14.91894753636042</v>
      </c>
      <c r="Y84" s="314" t="str">
        <f t="shared" ca="1" si="51"/>
        <v/>
      </c>
      <c r="Z84" s="315" t="str">
        <f t="shared" ca="1" si="52"/>
        <v/>
      </c>
      <c r="AA84" s="316" t="str">
        <f t="shared" ca="1" si="53"/>
        <v/>
      </c>
      <c r="AC84" s="310" t="e">
        <f t="shared" ca="1" si="54"/>
        <v>#N/A</v>
      </c>
      <c r="AD84" s="323" t="e">
        <f t="shared" ca="1" si="55"/>
        <v>#N/A</v>
      </c>
      <c r="AE84" s="324">
        <f t="shared" ca="1" si="34"/>
        <v>26.869891207497066</v>
      </c>
      <c r="AG84" s="306">
        <f t="shared" ca="1" si="56"/>
        <v>81.583193537668336</v>
      </c>
      <c r="AH84" s="304">
        <f t="shared" ca="1" si="57"/>
        <v>91.347392160544999</v>
      </c>
    </row>
    <row r="85" spans="1:34" x14ac:dyDescent="0.2">
      <c r="A85" s="347">
        <f t="shared" ca="1" si="35"/>
        <v>0.01</v>
      </c>
      <c r="B85" s="304">
        <f t="shared" ca="1" si="36"/>
        <v>0.8100000000000005</v>
      </c>
      <c r="D85" s="306">
        <f t="shared" ca="1" si="37"/>
        <v>8.8154233294915993</v>
      </c>
      <c r="E85" s="307">
        <f t="shared" ca="1" si="38"/>
        <v>80.965605254937088</v>
      </c>
      <c r="F85" s="304">
        <f t="shared" ca="1" si="39"/>
        <v>81.444096917925492</v>
      </c>
      <c r="G85" s="306">
        <f t="shared" ca="1" si="40"/>
        <v>6.6573592448127554</v>
      </c>
      <c r="H85" s="307">
        <f t="shared" ca="1" si="41"/>
        <v>68.455138144070091</v>
      </c>
      <c r="I85" s="304">
        <f t="shared" ca="1" si="42"/>
        <v>68.778095135284275</v>
      </c>
      <c r="J85" s="306">
        <f t="shared" ca="1" si="43"/>
        <v>2.5566686998035895</v>
      </c>
      <c r="K85" s="307">
        <f t="shared" ca="1" si="44"/>
        <v>27.55039430867502</v>
      </c>
      <c r="L85" s="304">
        <f t="shared" ca="1" si="29"/>
        <v>27.668769061959161</v>
      </c>
      <c r="M85" s="306">
        <f t="shared" ca="1" si="45"/>
        <v>1.4738497768147003</v>
      </c>
      <c r="N85" s="304">
        <f t="shared" ca="1" si="46"/>
        <v>84.445371847780663</v>
      </c>
      <c r="P85" s="310">
        <f t="shared" ca="1" si="47"/>
        <v>3</v>
      </c>
      <c r="Q85" s="304">
        <f t="shared" ca="1" si="48"/>
        <v>762.01</v>
      </c>
      <c r="R85" s="306">
        <f t="shared" ca="1" si="49"/>
        <v>0.38241731564296016</v>
      </c>
      <c r="S85" s="307">
        <f t="shared" ca="1" si="50"/>
        <v>8.1915504096445257</v>
      </c>
      <c r="T85" s="304">
        <f t="shared" ca="1" si="30"/>
        <v>80.359109518612797</v>
      </c>
      <c r="U85" s="311">
        <f t="shared" ca="1" si="31"/>
        <v>0</v>
      </c>
      <c r="V85" s="306">
        <f t="shared" ca="1" si="32"/>
        <v>1.2216297193252637</v>
      </c>
      <c r="W85" s="304">
        <f t="shared" ca="1" si="33"/>
        <v>15.277587512479661</v>
      </c>
      <c r="Y85" s="314" t="str">
        <f t="shared" ca="1" si="51"/>
        <v/>
      </c>
      <c r="Z85" s="315" t="str">
        <f t="shared" ca="1" si="52"/>
        <v/>
      </c>
      <c r="AA85" s="316" t="str">
        <f t="shared" ca="1" si="53"/>
        <v/>
      </c>
      <c r="AC85" s="310" t="e">
        <f t="shared" ca="1" si="54"/>
        <v>#N/A</v>
      </c>
      <c r="AD85" s="323" t="e">
        <f t="shared" ca="1" si="55"/>
        <v>#N/A</v>
      </c>
      <c r="AE85" s="324">
        <f t="shared" ca="1" si="34"/>
        <v>27.55039430867502</v>
      </c>
      <c r="AG85" s="306">
        <f t="shared" ca="1" si="56"/>
        <v>81.438576974635382</v>
      </c>
      <c r="AH85" s="304">
        <f t="shared" ca="1" si="57"/>
        <v>91.20264359040425</v>
      </c>
    </row>
    <row r="86" spans="1:34" x14ac:dyDescent="0.2">
      <c r="A86" s="347">
        <f t="shared" ca="1" si="35"/>
        <v>0.01</v>
      </c>
      <c r="B86" s="304">
        <f t="shared" ca="1" si="36"/>
        <v>0.82000000000000051</v>
      </c>
      <c r="D86" s="306">
        <f t="shared" ca="1" si="37"/>
        <v>8.8138651577047344</v>
      </c>
      <c r="E86" s="307">
        <f t="shared" ca="1" si="38"/>
        <v>80.819682846693709</v>
      </c>
      <c r="F86" s="304">
        <f t="shared" ca="1" si="39"/>
        <v>81.298864410632206</v>
      </c>
      <c r="G86" s="306">
        <f t="shared" ca="1" si="40"/>
        <v>6.7454978963898027</v>
      </c>
      <c r="H86" s="307">
        <f t="shared" ca="1" si="41"/>
        <v>69.263334972537024</v>
      </c>
      <c r="I86" s="304">
        <f t="shared" ca="1" si="42"/>
        <v>69.59102897204545</v>
      </c>
      <c r="J86" s="306">
        <f t="shared" ca="1" si="43"/>
        <v>2.6236829855096024</v>
      </c>
      <c r="K86" s="307">
        <f t="shared" ca="1" si="44"/>
        <v>28.238986674258054</v>
      </c>
      <c r="L86" s="304">
        <f t="shared" ca="1" si="29"/>
        <v>28.360607905991305</v>
      </c>
      <c r="M86" s="306">
        <f t="shared" ca="1" si="45"/>
        <v>1.4737133286809003</v>
      </c>
      <c r="N86" s="304">
        <f t="shared" ca="1" si="46"/>
        <v>84.437553945591489</v>
      </c>
      <c r="P86" s="310">
        <f t="shared" ca="1" si="47"/>
        <v>3</v>
      </c>
      <c r="Q86" s="304">
        <f t="shared" ca="1" si="48"/>
        <v>760.82999999999993</v>
      </c>
      <c r="R86" s="306">
        <f t="shared" ca="1" si="49"/>
        <v>0.3818251286211905</v>
      </c>
      <c r="S86" s="307">
        <f t="shared" ca="1" si="50"/>
        <v>8.1877321583583136</v>
      </c>
      <c r="T86" s="304">
        <f t="shared" ca="1" si="30"/>
        <v>80.321652473495064</v>
      </c>
      <c r="U86" s="311">
        <f t="shared" ca="1" si="31"/>
        <v>0</v>
      </c>
      <c r="V86" s="306">
        <f t="shared" ca="1" si="32"/>
        <v>1.2215456015679678</v>
      </c>
      <c r="W86" s="304">
        <f t="shared" ca="1" si="33"/>
        <v>15.639796716001966</v>
      </c>
      <c r="Y86" s="314" t="str">
        <f t="shared" ca="1" si="51"/>
        <v/>
      </c>
      <c r="Z86" s="315" t="str">
        <f t="shared" ca="1" si="52"/>
        <v/>
      </c>
      <c r="AA86" s="316" t="str">
        <f t="shared" ca="1" si="53"/>
        <v/>
      </c>
      <c r="AC86" s="310" t="e">
        <f t="shared" ca="1" si="54"/>
        <v>#N/A</v>
      </c>
      <c r="AD86" s="323" t="e">
        <f t="shared" ca="1" si="55"/>
        <v>#N/A</v>
      </c>
      <c r="AE86" s="324">
        <f t="shared" ca="1" si="34"/>
        <v>28.238986674258054</v>
      </c>
      <c r="AG86" s="306">
        <f t="shared" ca="1" si="56"/>
        <v>81.293318893505571</v>
      </c>
      <c r="AH86" s="304">
        <f t="shared" ca="1" si="57"/>
        <v>91.057254691268227</v>
      </c>
    </row>
    <row r="87" spans="1:34" x14ac:dyDescent="0.2">
      <c r="A87" s="347">
        <f t="shared" ca="1" si="35"/>
        <v>0.01</v>
      </c>
      <c r="B87" s="304">
        <f t="shared" ca="1" si="36"/>
        <v>0.83000000000000052</v>
      </c>
      <c r="D87" s="306">
        <f t="shared" ca="1" si="37"/>
        <v>8.8120768978249888</v>
      </c>
      <c r="E87" s="307">
        <f t="shared" ca="1" si="38"/>
        <v>80.67314051131325</v>
      </c>
      <c r="F87" s="304">
        <f t="shared" ca="1" si="39"/>
        <v>81.152993162367537</v>
      </c>
      <c r="G87" s="306">
        <f t="shared" ca="1" si="40"/>
        <v>6.8336186653680526</v>
      </c>
      <c r="H87" s="307">
        <f t="shared" ca="1" si="41"/>
        <v>70.07006637765015</v>
      </c>
      <c r="I87" s="304">
        <f t="shared" ca="1" si="42"/>
        <v>70.402503834962886</v>
      </c>
      <c r="J87" s="306">
        <f t="shared" ca="1" si="43"/>
        <v>2.6915785683183917</v>
      </c>
      <c r="K87" s="307">
        <f t="shared" ca="1" si="44"/>
        <v>28.93565368100899</v>
      </c>
      <c r="L87" s="304">
        <f t="shared" ca="1" si="29"/>
        <v>29.060568630650021</v>
      </c>
      <c r="M87" s="306">
        <f t="shared" ca="1" si="45"/>
        <v>1.4735782640435131</v>
      </c>
      <c r="N87" s="304">
        <f t="shared" ca="1" si="46"/>
        <v>84.429815311907731</v>
      </c>
      <c r="P87" s="310">
        <f t="shared" ca="1" si="47"/>
        <v>3</v>
      </c>
      <c r="Q87" s="304">
        <f t="shared" ca="1" si="48"/>
        <v>759.65</v>
      </c>
      <c r="R87" s="306">
        <f t="shared" ca="1" si="49"/>
        <v>0.38123294159942084</v>
      </c>
      <c r="S87" s="307">
        <f t="shared" ca="1" si="50"/>
        <v>8.1839198289423187</v>
      </c>
      <c r="T87" s="304">
        <f t="shared" ca="1" si="30"/>
        <v>80.284253521924157</v>
      </c>
      <c r="U87" s="311">
        <f t="shared" ca="1" si="31"/>
        <v>0</v>
      </c>
      <c r="V87" s="306">
        <f t="shared" ca="1" si="32"/>
        <v>1.2214605033066028</v>
      </c>
      <c r="W87" s="304">
        <f t="shared" ca="1" si="33"/>
        <v>16.00554776292347</v>
      </c>
      <c r="Y87" s="314" t="str">
        <f t="shared" ca="1" si="51"/>
        <v/>
      </c>
      <c r="Z87" s="315" t="str">
        <f t="shared" ca="1" si="52"/>
        <v/>
      </c>
      <c r="AA87" s="316" t="str">
        <f t="shared" ca="1" si="53"/>
        <v/>
      </c>
      <c r="AC87" s="310" t="e">
        <f t="shared" ca="1" si="54"/>
        <v>#N/A</v>
      </c>
      <c r="AD87" s="323" t="e">
        <f t="shared" ca="1" si="55"/>
        <v>#N/A</v>
      </c>
      <c r="AE87" s="324">
        <f t="shared" ca="1" si="34"/>
        <v>28.93565368100899</v>
      </c>
      <c r="AG87" s="306">
        <f t="shared" ca="1" si="56"/>
        <v>81.147422076014692</v>
      </c>
      <c r="AH87" s="304">
        <f t="shared" ca="1" si="57"/>
        <v>90.911228217658774</v>
      </c>
    </row>
    <row r="88" spans="1:34" x14ac:dyDescent="0.2">
      <c r="A88" s="347">
        <f t="shared" ca="1" si="35"/>
        <v>0.01</v>
      </c>
      <c r="B88" s="304">
        <f t="shared" ca="1" si="36"/>
        <v>0.84000000000000052</v>
      </c>
      <c r="D88" s="306">
        <f t="shared" ca="1" si="37"/>
        <v>8.8100622141112481</v>
      </c>
      <c r="E88" s="307">
        <f t="shared" ca="1" si="38"/>
        <v>80.525980739240552</v>
      </c>
      <c r="F88" s="304">
        <f t="shared" ca="1" si="39"/>
        <v>81.006485976328165</v>
      </c>
      <c r="G88" s="306">
        <f t="shared" ca="1" si="40"/>
        <v>6.9217192875091653</v>
      </c>
      <c r="H88" s="307">
        <f t="shared" ca="1" si="41"/>
        <v>70.875326185042553</v>
      </c>
      <c r="I88" s="304">
        <f t="shared" ca="1" si="42"/>
        <v>71.212513364796038</v>
      </c>
      <c r="J88" s="306">
        <f t="shared" ca="1" si="43"/>
        <v>2.7603552580827779</v>
      </c>
      <c r="K88" s="307">
        <f t="shared" ca="1" si="44"/>
        <v>29.640380643822454</v>
      </c>
      <c r="L88" s="304">
        <f t="shared" ca="1" si="29"/>
        <v>29.768636614086141</v>
      </c>
      <c r="M88" s="306">
        <f t="shared" ca="1" si="45"/>
        <v>1.4734445505209344</v>
      </c>
      <c r="N88" s="304">
        <f t="shared" ca="1" si="46"/>
        <v>84.422154091400145</v>
      </c>
      <c r="P88" s="310">
        <f t="shared" ca="1" si="47"/>
        <v>3</v>
      </c>
      <c r="Q88" s="304">
        <f t="shared" ca="1" si="48"/>
        <v>758.46999999999991</v>
      </c>
      <c r="R88" s="306">
        <f t="shared" ca="1" si="49"/>
        <v>0.38064075457765117</v>
      </c>
      <c r="S88" s="307">
        <f t="shared" ca="1" si="50"/>
        <v>8.180113421396543</v>
      </c>
      <c r="T88" s="304">
        <f t="shared" ca="1" si="30"/>
        <v>80.24691266390009</v>
      </c>
      <c r="U88" s="311">
        <f t="shared" ca="1" si="31"/>
        <v>0</v>
      </c>
      <c r="V88" s="306">
        <f t="shared" ca="1" si="32"/>
        <v>1.2213744265400024</v>
      </c>
      <c r="W88" s="304">
        <f t="shared" ca="1" si="33"/>
        <v>16.374813181630881</v>
      </c>
      <c r="Y88" s="314" t="str">
        <f t="shared" ca="1" si="51"/>
        <v/>
      </c>
      <c r="Z88" s="315" t="str">
        <f t="shared" ca="1" si="52"/>
        <v/>
      </c>
      <c r="AA88" s="316" t="str">
        <f t="shared" ca="1" si="53"/>
        <v/>
      </c>
      <c r="AC88" s="310" t="e">
        <f t="shared" ca="1" si="54"/>
        <v>#N/A</v>
      </c>
      <c r="AD88" s="323" t="e">
        <f t="shared" ca="1" si="55"/>
        <v>#N/A</v>
      </c>
      <c r="AE88" s="324">
        <f t="shared" ca="1" si="34"/>
        <v>29.640380643822454</v>
      </c>
      <c r="AG88" s="306">
        <f t="shared" ca="1" si="56"/>
        <v>81.000889321799121</v>
      </c>
      <c r="AH88" s="304">
        <f t="shared" ca="1" si="57"/>
        <v>90.764566942926308</v>
      </c>
    </row>
    <row r="89" spans="1:34" x14ac:dyDescent="0.2">
      <c r="A89" s="347">
        <f t="shared" ca="1" si="35"/>
        <v>0.01</v>
      </c>
      <c r="B89" s="304">
        <f t="shared" ca="1" si="36"/>
        <v>0.85000000000000053</v>
      </c>
      <c r="D89" s="306">
        <f t="shared" ca="1" si="37"/>
        <v>8.8078246537146683</v>
      </c>
      <c r="E89" s="307">
        <f t="shared" ca="1" si="38"/>
        <v>80.378206048634837</v>
      </c>
      <c r="F89" s="304">
        <f t="shared" ca="1" si="39"/>
        <v>80.859345673381398</v>
      </c>
      <c r="G89" s="306">
        <f t="shared" ca="1" si="40"/>
        <v>7.0097975340463119</v>
      </c>
      <c r="H89" s="307">
        <f t="shared" ca="1" si="41"/>
        <v>71.679108245528909</v>
      </c>
      <c r="I89" s="304">
        <f t="shared" ca="1" si="42"/>
        <v>72.021051230474072</v>
      </c>
      <c r="J89" s="306">
        <f t="shared" ca="1" si="43"/>
        <v>2.8300128421905555</v>
      </c>
      <c r="K89" s="307">
        <f t="shared" ca="1" si="44"/>
        <v>30.35315281597531</v>
      </c>
      <c r="L89" s="304">
        <f t="shared" ca="1" si="29"/>
        <v>30.484797170998423</v>
      </c>
      <c r="M89" s="306">
        <f t="shared" ca="1" si="45"/>
        <v>1.4733121568509953</v>
      </c>
      <c r="N89" s="304">
        <f t="shared" ca="1" si="46"/>
        <v>84.414568492878388</v>
      </c>
      <c r="P89" s="310">
        <f t="shared" ca="1" si="47"/>
        <v>3</v>
      </c>
      <c r="Q89" s="304">
        <f t="shared" ca="1" si="48"/>
        <v>757.29</v>
      </c>
      <c r="R89" s="306">
        <f t="shared" ca="1" si="49"/>
        <v>0.38004856755588157</v>
      </c>
      <c r="S89" s="307">
        <f t="shared" ca="1" si="50"/>
        <v>8.1763129357209845</v>
      </c>
      <c r="T89" s="304">
        <f t="shared" ca="1" si="30"/>
        <v>80.209629899422865</v>
      </c>
      <c r="U89" s="311">
        <f t="shared" ca="1" si="31"/>
        <v>0</v>
      </c>
      <c r="V89" s="306">
        <f t="shared" ca="1" si="32"/>
        <v>1.2212873732763576</v>
      </c>
      <c r="W89" s="304">
        <f t="shared" ca="1" si="33"/>
        <v>16.747565414625463</v>
      </c>
      <c r="Y89" s="314" t="str">
        <f t="shared" ca="1" si="51"/>
        <v/>
      </c>
      <c r="Z89" s="315" t="str">
        <f t="shared" ca="1" si="52"/>
        <v/>
      </c>
      <c r="AA89" s="316" t="str">
        <f t="shared" ca="1" si="53"/>
        <v/>
      </c>
      <c r="AC89" s="310" t="e">
        <f t="shared" ca="1" si="54"/>
        <v>#N/A</v>
      </c>
      <c r="AD89" s="323" t="e">
        <f t="shared" ca="1" si="55"/>
        <v>#N/A</v>
      </c>
      <c r="AE89" s="324">
        <f t="shared" ca="1" si="34"/>
        <v>30.35315281597531</v>
      </c>
      <c r="AG89" s="306">
        <f t="shared" ca="1" si="56"/>
        <v>80.853723448252026</v>
      </c>
      <c r="AH89" s="304">
        <f t="shared" ca="1" si="57"/>
        <v>90.617273659063471</v>
      </c>
    </row>
    <row r="90" spans="1:34" x14ac:dyDescent="0.2">
      <c r="A90" s="347">
        <f t="shared" ca="1" si="35"/>
        <v>0.01</v>
      </c>
      <c r="B90" s="304">
        <f t="shared" ca="1" si="36"/>
        <v>0.86000000000000054</v>
      </c>
      <c r="D90" s="306">
        <f t="shared" ca="1" si="37"/>
        <v>8.805367652223099</v>
      </c>
      <c r="E90" s="307">
        <f t="shared" ca="1" si="38"/>
        <v>80.229818984764549</v>
      </c>
      <c r="F90" s="304">
        <f t="shared" ca="1" si="39"/>
        <v>80.711575091921631</v>
      </c>
      <c r="G90" s="306">
        <f t="shared" ca="1" si="40"/>
        <v>7.0978512105685425</v>
      </c>
      <c r="H90" s="307">
        <f t="shared" ca="1" si="41"/>
        <v>72.481406435376556</v>
      </c>
      <c r="I90" s="304">
        <f t="shared" ca="1" si="42"/>
        <v>72.828111129272159</v>
      </c>
      <c r="J90" s="306">
        <f t="shared" ca="1" si="43"/>
        <v>2.9005510859136296</v>
      </c>
      <c r="K90" s="307">
        <f t="shared" ca="1" si="44"/>
        <v>31.073955389379837</v>
      </c>
      <c r="L90" s="304">
        <f t="shared" ca="1" si="29"/>
        <v>31.209035552915807</v>
      </c>
      <c r="M90" s="306">
        <f t="shared" ca="1" si="45"/>
        <v>1.473181052839432</v>
      </c>
      <c r="N90" s="304">
        <f t="shared" ca="1" si="46"/>
        <v>84.407056786338572</v>
      </c>
      <c r="P90" s="310">
        <f t="shared" ca="1" si="47"/>
        <v>3</v>
      </c>
      <c r="Q90" s="304">
        <f t="shared" ca="1" si="48"/>
        <v>756.1099999999999</v>
      </c>
      <c r="R90" s="306">
        <f t="shared" ca="1" si="49"/>
        <v>0.37945638053411185</v>
      </c>
      <c r="S90" s="307">
        <f t="shared" ca="1" si="50"/>
        <v>8.1725183719156433</v>
      </c>
      <c r="T90" s="304">
        <f t="shared" ca="1" si="30"/>
        <v>80.172405228492465</v>
      </c>
      <c r="U90" s="311">
        <f t="shared" ca="1" si="31"/>
        <v>0</v>
      </c>
      <c r="V90" s="306">
        <f t="shared" ca="1" si="32"/>
        <v>1.2211993455331687</v>
      </c>
      <c r="W90" s="304">
        <f t="shared" ca="1" si="33"/>
        <v>17.123776820250345</v>
      </c>
      <c r="Y90" s="314" t="str">
        <f t="shared" ca="1" si="51"/>
        <v/>
      </c>
      <c r="Z90" s="315" t="str">
        <f t="shared" ca="1" si="52"/>
        <v/>
      </c>
      <c r="AA90" s="316" t="str">
        <f t="shared" ca="1" si="53"/>
        <v/>
      </c>
      <c r="AC90" s="310" t="e">
        <f t="shared" ca="1" si="54"/>
        <v>#N/A</v>
      </c>
      <c r="AD90" s="323" t="e">
        <f t="shared" ca="1" si="55"/>
        <v>#N/A</v>
      </c>
      <c r="AE90" s="324">
        <f t="shared" ca="1" si="34"/>
        <v>31.073955389379837</v>
      </c>
      <c r="AG90" s="306">
        <f t="shared" ca="1" si="56"/>
        <v>80.705927290375541</v>
      </c>
      <c r="AH90" s="304">
        <f t="shared" ca="1" si="57"/>
        <v>90.469351176517137</v>
      </c>
    </row>
    <row r="91" spans="1:34" x14ac:dyDescent="0.2">
      <c r="A91" s="347">
        <f t="shared" ca="1" si="35"/>
        <v>0.01</v>
      </c>
      <c r="B91" s="304">
        <f t="shared" ca="1" si="36"/>
        <v>0.87000000000000055</v>
      </c>
      <c r="D91" s="306">
        <f t="shared" ca="1" si="37"/>
        <v>8.802694538884575</v>
      </c>
      <c r="E91" s="307">
        <f t="shared" ca="1" si="38"/>
        <v>80.080822119425036</v>
      </c>
      <c r="F91" s="304">
        <f t="shared" ca="1" si="39"/>
        <v>80.563177087723531</v>
      </c>
      <c r="G91" s="306">
        <f t="shared" ca="1" si="40"/>
        <v>7.1858781559573881</v>
      </c>
      <c r="H91" s="307">
        <f t="shared" ca="1" si="41"/>
        <v>73.282214656570801</v>
      </c>
      <c r="I91" s="304">
        <f t="shared" ca="1" si="42"/>
        <v>73.633686786986203</v>
      </c>
      <c r="J91" s="306">
        <f t="shared" ca="1" si="43"/>
        <v>2.9719697327462593</v>
      </c>
      <c r="K91" s="307">
        <f t="shared" ca="1" si="44"/>
        <v>31.802773494839574</v>
      </c>
      <c r="L91" s="304">
        <f t="shared" ca="1" si="29"/>
        <v>31.941336948481514</v>
      </c>
      <c r="M91" s="306">
        <f t="shared" ca="1" si="45"/>
        <v>1.4730512093113051</v>
      </c>
      <c r="N91" s="304">
        <f t="shared" ca="1" si="46"/>
        <v>84.399617300179813</v>
      </c>
      <c r="P91" s="310">
        <f t="shared" ca="1" si="47"/>
        <v>3</v>
      </c>
      <c r="Q91" s="304">
        <f t="shared" ca="1" si="48"/>
        <v>754.93</v>
      </c>
      <c r="R91" s="306">
        <f t="shared" ca="1" si="49"/>
        <v>0.37886419351234224</v>
      </c>
      <c r="S91" s="307">
        <f t="shared" ca="1" si="50"/>
        <v>8.1687297299805195</v>
      </c>
      <c r="T91" s="304">
        <f t="shared" ca="1" si="30"/>
        <v>80.135238651108907</v>
      </c>
      <c r="U91" s="311">
        <f t="shared" ca="1" si="31"/>
        <v>0</v>
      </c>
      <c r="V91" s="306">
        <f t="shared" ca="1" si="32"/>
        <v>1.2211103453371928</v>
      </c>
      <c r="W91" s="304">
        <f t="shared" ca="1" si="33"/>
        <v>17.503419674420819</v>
      </c>
      <c r="Y91" s="314" t="str">
        <f t="shared" ca="1" si="51"/>
        <v/>
      </c>
      <c r="Z91" s="315" t="str">
        <f t="shared" ca="1" si="52"/>
        <v/>
      </c>
      <c r="AA91" s="316" t="str">
        <f t="shared" ca="1" si="53"/>
        <v/>
      </c>
      <c r="AC91" s="310" t="e">
        <f t="shared" ca="1" si="54"/>
        <v>#N/A</v>
      </c>
      <c r="AD91" s="323" t="e">
        <f t="shared" ca="1" si="55"/>
        <v>#N/A</v>
      </c>
      <c r="AE91" s="324">
        <f t="shared" ca="1" si="34"/>
        <v>31.802773494839574</v>
      </c>
      <c r="AG91" s="306">
        <f t="shared" ca="1" si="56"/>
        <v>80.55750370062988</v>
      </c>
      <c r="AH91" s="304">
        <f t="shared" ca="1" si="57"/>
        <v>90.320802323999658</v>
      </c>
    </row>
    <row r="92" spans="1:34" x14ac:dyDescent="0.2">
      <c r="A92" s="347">
        <f t="shared" ca="1" si="35"/>
        <v>0.01</v>
      </c>
      <c r="B92" s="304">
        <f t="shared" ca="1" si="36"/>
        <v>0.88000000000000056</v>
      </c>
      <c r="D92" s="306">
        <f t="shared" ca="1" si="37"/>
        <v>8.7998085415311849</v>
      </c>
      <c r="E92" s="307">
        <f t="shared" ca="1" si="38"/>
        <v>79.931218050377069</v>
      </c>
      <c r="F92" s="304">
        <f t="shared" ca="1" si="39"/>
        <v>80.414154533791688</v>
      </c>
      <c r="G92" s="306">
        <f t="shared" ca="1" si="40"/>
        <v>7.2738762413727001</v>
      </c>
      <c r="H92" s="307">
        <f t="shared" ca="1" si="41"/>
        <v>74.081526837074577</v>
      </c>
      <c r="I92" s="304">
        <f t="shared" ca="1" si="42"/>
        <v>74.437771958106097</v>
      </c>
      <c r="J92" s="306">
        <f t="shared" ca="1" si="43"/>
        <v>3.0442685047329099</v>
      </c>
      <c r="K92" s="307">
        <f t="shared" ca="1" si="44"/>
        <v>32.539592202307801</v>
      </c>
      <c r="L92" s="304">
        <f t="shared" ca="1" si="29"/>
        <v>32.681686483738865</v>
      </c>
      <c r="M92" s="306">
        <f t="shared" ca="1" si="45"/>
        <v>1.4729225980651612</v>
      </c>
      <c r="N92" s="304">
        <f t="shared" ca="1" si="46"/>
        <v>84.39224841857785</v>
      </c>
      <c r="P92" s="310">
        <f t="shared" ca="1" si="47"/>
        <v>3</v>
      </c>
      <c r="Q92" s="304">
        <f t="shared" ca="1" si="48"/>
        <v>753.74999999999989</v>
      </c>
      <c r="R92" s="306">
        <f t="shared" ca="1" si="49"/>
        <v>0.37827200649057252</v>
      </c>
      <c r="S92" s="307">
        <f t="shared" ca="1" si="50"/>
        <v>8.164947009915613</v>
      </c>
      <c r="T92" s="304">
        <f t="shared" ca="1" si="30"/>
        <v>80.098130167272174</v>
      </c>
      <c r="U92" s="311">
        <f t="shared" ca="1" si="31"/>
        <v>0</v>
      </c>
      <c r="V92" s="306">
        <f t="shared" ca="1" si="32"/>
        <v>1.2210203747243966</v>
      </c>
      <c r="W92" s="304">
        <f t="shared" ca="1" si="33"/>
        <v>17.886466172357729</v>
      </c>
      <c r="Y92" s="314" t="str">
        <f t="shared" ca="1" si="51"/>
        <v/>
      </c>
      <c r="Z92" s="315" t="str">
        <f t="shared" ca="1" si="52"/>
        <v/>
      </c>
      <c r="AA92" s="316" t="str">
        <f t="shared" ca="1" si="53"/>
        <v/>
      </c>
      <c r="AC92" s="310" t="e">
        <f t="shared" ca="1" si="54"/>
        <v>#N/A</v>
      </c>
      <c r="AD92" s="323" t="e">
        <f t="shared" ca="1" si="55"/>
        <v>#N/A</v>
      </c>
      <c r="AE92" s="324">
        <f t="shared" ca="1" si="34"/>
        <v>32.539592202307801</v>
      </c>
      <c r="AG92" s="306">
        <f t="shared" ca="1" si="56"/>
        <v>80.408455548779003</v>
      </c>
      <c r="AH92" s="304">
        <f t="shared" ca="1" si="57"/>
        <v>90.171629948298758</v>
      </c>
    </row>
    <row r="93" spans="1:34" x14ac:dyDescent="0.2">
      <c r="A93" s="347">
        <f t="shared" ca="1" si="35"/>
        <v>0.01</v>
      </c>
      <c r="B93" s="304">
        <f t="shared" ca="1" si="36"/>
        <v>0.89000000000000057</v>
      </c>
      <c r="D93" s="306">
        <f t="shared" ca="1" si="37"/>
        <v>8.7967127912241949</v>
      </c>
      <c r="E93" s="307">
        <f t="shared" ca="1" si="38"/>
        <v>79.781009400804862</v>
      </c>
      <c r="F93" s="304">
        <f t="shared" ca="1" si="39"/>
        <v>80.264510320206909</v>
      </c>
      <c r="G93" s="306">
        <f t="shared" ca="1" si="40"/>
        <v>7.3618433692849417</v>
      </c>
      <c r="H93" s="307">
        <f t="shared" ca="1" si="41"/>
        <v>74.879336931082619</v>
      </c>
      <c r="I93" s="304">
        <f t="shared" ca="1" si="42"/>
        <v>75.240360425987305</v>
      </c>
      <c r="J93" s="306">
        <f t="shared" ca="1" si="43"/>
        <v>3.1174471027861981</v>
      </c>
      <c r="K93" s="307">
        <f t="shared" ca="1" si="44"/>
        <v>33.284396521148587</v>
      </c>
      <c r="L93" s="304">
        <f t="shared" ca="1" si="29"/>
        <v>33.430069222418879</v>
      </c>
      <c r="M93" s="306">
        <f t="shared" ca="1" si="45"/>
        <v>1.4727951918297575</v>
      </c>
      <c r="N93" s="304">
        <f t="shared" ca="1" si="46"/>
        <v>84.384948579005567</v>
      </c>
      <c r="P93" s="310">
        <f t="shared" ca="1" si="47"/>
        <v>3</v>
      </c>
      <c r="Q93" s="304">
        <f t="shared" ca="1" si="48"/>
        <v>752.56999999999994</v>
      </c>
      <c r="R93" s="306">
        <f t="shared" ca="1" si="49"/>
        <v>0.37767981946880291</v>
      </c>
      <c r="S93" s="307">
        <f t="shared" ca="1" si="50"/>
        <v>8.1611702117209255</v>
      </c>
      <c r="T93" s="304">
        <f t="shared" ca="1" si="30"/>
        <v>80.061079776982282</v>
      </c>
      <c r="U93" s="311">
        <f t="shared" ca="1" si="31"/>
        <v>0</v>
      </c>
      <c r="V93" s="306">
        <f t="shared" ca="1" si="32"/>
        <v>1.2209294357399043</v>
      </c>
      <c r="W93" s="304">
        <f t="shared" ca="1" si="33"/>
        <v>18.272888430323462</v>
      </c>
      <c r="Y93" s="314" t="str">
        <f t="shared" ca="1" si="51"/>
        <v/>
      </c>
      <c r="Z93" s="315" t="str">
        <f t="shared" ca="1" si="52"/>
        <v/>
      </c>
      <c r="AA93" s="316" t="str">
        <f t="shared" ca="1" si="53"/>
        <v/>
      </c>
      <c r="AC93" s="310" t="e">
        <f t="shared" ca="1" si="54"/>
        <v>#N/A</v>
      </c>
      <c r="AD93" s="323" t="e">
        <f t="shared" ca="1" si="55"/>
        <v>#N/A</v>
      </c>
      <c r="AE93" s="324">
        <f t="shared" ca="1" si="34"/>
        <v>33.284396521148587</v>
      </c>
      <c r="AG93" s="306">
        <f t="shared" ca="1" si="56"/>
        <v>80.258785721733361</v>
      </c>
      <c r="AH93" s="304">
        <f t="shared" ca="1" si="57"/>
        <v>90.021836914086535</v>
      </c>
    </row>
    <row r="94" spans="1:34" x14ac:dyDescent="0.2">
      <c r="A94" s="347">
        <f t="shared" ca="1" si="35"/>
        <v>0.01</v>
      </c>
      <c r="B94" s="304">
        <f t="shared" ca="1" si="36"/>
        <v>0.90000000000000058</v>
      </c>
      <c r="D94" s="306">
        <f t="shared" ca="1" si="37"/>
        <v>8.793410326638849</v>
      </c>
      <c r="E94" s="307">
        <f t="shared" ca="1" si="38"/>
        <v>79.630198818792167</v>
      </c>
      <c r="F94" s="304">
        <f t="shared" ca="1" si="39"/>
        <v>80.114247353969489</v>
      </c>
      <c r="G94" s="306">
        <f t="shared" ca="1" si="40"/>
        <v>7.4497774725513297</v>
      </c>
      <c r="H94" s="307">
        <f t="shared" ca="1" si="41"/>
        <v>75.67563891927054</v>
      </c>
      <c r="I94" s="304">
        <f t="shared" ca="1" si="42"/>
        <v>76.041446003020937</v>
      </c>
      <c r="J94" s="306">
        <f t="shared" ca="1" si="43"/>
        <v>3.1915052069953793</v>
      </c>
      <c r="K94" s="307">
        <f t="shared" ca="1" si="44"/>
        <v>34.037171400400354</v>
      </c>
      <c r="L94" s="304">
        <f t="shared" ca="1" si="29"/>
        <v>34.186470166229654</v>
      </c>
      <c r="M94" s="306">
        <f t="shared" ca="1" si="45"/>
        <v>1.4726689642231754</v>
      </c>
      <c r="N94" s="304">
        <f t="shared" ca="1" si="46"/>
        <v>84.377716269890371</v>
      </c>
      <c r="P94" s="310">
        <f t="shared" ca="1" si="47"/>
        <v>3</v>
      </c>
      <c r="Q94" s="304">
        <f t="shared" ca="1" si="48"/>
        <v>751.38999999999987</v>
      </c>
      <c r="R94" s="306">
        <f t="shared" ca="1" si="49"/>
        <v>0.37708763244703325</v>
      </c>
      <c r="S94" s="307">
        <f t="shared" ca="1" si="50"/>
        <v>8.1573993353964553</v>
      </c>
      <c r="T94" s="304">
        <f t="shared" ca="1" si="30"/>
        <v>80.024087480239231</v>
      </c>
      <c r="U94" s="311">
        <f t="shared" ca="1" si="31"/>
        <v>0</v>
      </c>
      <c r="V94" s="306">
        <f t="shared" ca="1" si="32"/>
        <v>1.2208375304379477</v>
      </c>
      <c r="W94" s="304">
        <f t="shared" ca="1" si="33"/>
        <v>18.662658487360599</v>
      </c>
      <c r="Y94" s="314" t="str">
        <f t="shared" ca="1" si="51"/>
        <v/>
      </c>
      <c r="Z94" s="315" t="str">
        <f t="shared" ca="1" si="52"/>
        <v/>
      </c>
      <c r="AA94" s="316" t="str">
        <f t="shared" ca="1" si="53"/>
        <v/>
      </c>
      <c r="AC94" s="310" t="e">
        <f t="shared" ca="1" si="54"/>
        <v>#N/A</v>
      </c>
      <c r="AD94" s="323" t="e">
        <f t="shared" ca="1" si="55"/>
        <v>#N/A</v>
      </c>
      <c r="AE94" s="324">
        <f t="shared" ca="1" si="34"/>
        <v>34.037171400400354</v>
      </c>
      <c r="AG94" s="306">
        <f t="shared" ca="1" si="56"/>
        <v>80.108497123389625</v>
      </c>
      <c r="AH94" s="304">
        <f t="shared" ca="1" si="57"/>
        <v>89.871426103727259</v>
      </c>
    </row>
    <row r="95" spans="1:34" x14ac:dyDescent="0.2">
      <c r="A95" s="347">
        <f t="shared" ca="1" si="35"/>
        <v>0.01</v>
      </c>
      <c r="B95" s="304">
        <f t="shared" ca="1" si="36"/>
        <v>0.91000000000000059</v>
      </c>
      <c r="D95" s="306">
        <f t="shared" ca="1" si="37"/>
        <v>8.789904098206204</v>
      </c>
      <c r="E95" s="307">
        <f t="shared" ca="1" si="38"/>
        <v>79.478788976815395</v>
      </c>
      <c r="F95" s="304">
        <f t="shared" ca="1" si="39"/>
        <v>79.963368558839576</v>
      </c>
      <c r="G95" s="306">
        <f t="shared" ca="1" si="40"/>
        <v>7.5376765135333921</v>
      </c>
      <c r="H95" s="307">
        <f t="shared" ca="1" si="41"/>
        <v>76.470426809038699</v>
      </c>
      <c r="I95" s="304">
        <f t="shared" ca="1" si="42"/>
        <v>76.841022530801979</v>
      </c>
      <c r="J95" s="306">
        <f t="shared" ca="1" si="43"/>
        <v>3.2664424769258029</v>
      </c>
      <c r="K95" s="307">
        <f t="shared" ca="1" si="44"/>
        <v>34.797901729041897</v>
      </c>
      <c r="L95" s="304">
        <f t="shared" ca="1" si="29"/>
        <v>34.950874255147355</v>
      </c>
      <c r="M95" s="306">
        <f t="shared" ca="1" si="45"/>
        <v>1.4725438897141683</v>
      </c>
      <c r="N95" s="304">
        <f t="shared" ca="1" si="46"/>
        <v>84.370550028399592</v>
      </c>
      <c r="P95" s="310">
        <f t="shared" ca="1" si="47"/>
        <v>3</v>
      </c>
      <c r="Q95" s="304">
        <f t="shared" ca="1" si="48"/>
        <v>750.20999999999992</v>
      </c>
      <c r="R95" s="306">
        <f t="shared" ca="1" si="49"/>
        <v>0.37649544542526359</v>
      </c>
      <c r="S95" s="307">
        <f t="shared" ca="1" si="50"/>
        <v>8.1536343809422025</v>
      </c>
      <c r="T95" s="304">
        <f t="shared" ca="1" si="30"/>
        <v>79.987153277043006</v>
      </c>
      <c r="U95" s="311">
        <f t="shared" ca="1" si="31"/>
        <v>0</v>
      </c>
      <c r="V95" s="306">
        <f t="shared" ca="1" si="32"/>
        <v>1.2207446608818153</v>
      </c>
      <c r="W95" s="304">
        <f t="shared" ca="1" si="33"/>
        <v>19.055748307032793</v>
      </c>
      <c r="Y95" s="314" t="str">
        <f t="shared" ca="1" si="51"/>
        <v/>
      </c>
      <c r="Z95" s="315" t="str">
        <f t="shared" ca="1" si="52"/>
        <v/>
      </c>
      <c r="AA95" s="316" t="str">
        <f t="shared" ca="1" si="53"/>
        <v/>
      </c>
      <c r="AC95" s="310" t="e">
        <f t="shared" ca="1" si="54"/>
        <v>#N/A</v>
      </c>
      <c r="AD95" s="323" t="e">
        <f t="shared" ca="1" si="55"/>
        <v>#N/A</v>
      </c>
      <c r="AE95" s="324">
        <f t="shared" ca="1" si="34"/>
        <v>34.797901729041897</v>
      </c>
      <c r="AG95" s="306">
        <f t="shared" ca="1" si="56"/>
        <v>79.957592674467804</v>
      </c>
      <c r="AH95" s="304">
        <f t="shared" ca="1" si="57"/>
        <v>89.720400417084264</v>
      </c>
    </row>
    <row r="96" spans="1:34" x14ac:dyDescent="0.2">
      <c r="A96" s="347">
        <f t="shared" ca="1" si="35"/>
        <v>0.01</v>
      </c>
      <c r="B96" s="304">
        <f t="shared" ca="1" si="36"/>
        <v>0.9200000000000006</v>
      </c>
      <c r="D96" s="306">
        <f t="shared" ca="1" si="37"/>
        <v>8.7861969720279607</v>
      </c>
      <c r="E96" s="307">
        <f t="shared" ca="1" si="38"/>
        <v>79.326782571252409</v>
      </c>
      <c r="F96" s="304">
        <f t="shared" ca="1" si="39"/>
        <v>79.81187687517459</v>
      </c>
      <c r="G96" s="306">
        <f t="shared" ca="1" si="40"/>
        <v>7.6255384832536715</v>
      </c>
      <c r="H96" s="307">
        <f t="shared" ca="1" si="41"/>
        <v>77.263694634751218</v>
      </c>
      <c r="I96" s="304">
        <f t="shared" ca="1" si="42"/>
        <v>77.639083880296184</v>
      </c>
      <c r="J96" s="306">
        <f t="shared" ca="1" si="43"/>
        <v>3.3422585519097381</v>
      </c>
      <c r="K96" s="307">
        <f t="shared" ca="1" si="44"/>
        <v>35.566572336260847</v>
      </c>
      <c r="L96" s="304">
        <f t="shared" ca="1" si="29"/>
        <v>35.723266367709002</v>
      </c>
      <c r="M96" s="306">
        <f t="shared" ca="1" si="45"/>
        <v>1.4724199435855958</v>
      </c>
      <c r="N96" s="304">
        <f t="shared" ca="1" si="46"/>
        <v>84.363448438345415</v>
      </c>
      <c r="P96" s="310">
        <f t="shared" ca="1" si="47"/>
        <v>3</v>
      </c>
      <c r="Q96" s="304">
        <f t="shared" ca="1" si="48"/>
        <v>749.03</v>
      </c>
      <c r="R96" s="306">
        <f t="shared" ca="1" si="49"/>
        <v>0.37590325840349398</v>
      </c>
      <c r="S96" s="307">
        <f t="shared" ca="1" si="50"/>
        <v>8.149875348358167</v>
      </c>
      <c r="T96" s="304">
        <f t="shared" ca="1" si="30"/>
        <v>79.950277167393622</v>
      </c>
      <c r="U96" s="311">
        <f t="shared" ca="1" si="31"/>
        <v>0</v>
      </c>
      <c r="V96" s="306">
        <f t="shared" ca="1" si="32"/>
        <v>1.2206508291438012</v>
      </c>
      <c r="W96" s="304">
        <f t="shared" ca="1" si="33"/>
        <v>19.452129779168036</v>
      </c>
      <c r="Y96" s="314" t="str">
        <f t="shared" ca="1" si="51"/>
        <v/>
      </c>
      <c r="Z96" s="315" t="str">
        <f t="shared" ca="1" si="52"/>
        <v/>
      </c>
      <c r="AA96" s="316" t="str">
        <f t="shared" ca="1" si="53"/>
        <v/>
      </c>
      <c r="AC96" s="310" t="e">
        <f t="shared" ca="1" si="54"/>
        <v>#N/A</v>
      </c>
      <c r="AD96" s="323" t="e">
        <f t="shared" ca="1" si="55"/>
        <v>#N/A</v>
      </c>
      <c r="AE96" s="324">
        <f t="shared" ca="1" si="34"/>
        <v>35.566572336260847</v>
      </c>
      <c r="AG96" s="306">
        <f t="shared" ca="1" si="56"/>
        <v>79.80607531234547</v>
      </c>
      <c r="AH96" s="304">
        <f t="shared" ca="1" si="57"/>
        <v>89.568762771325595</v>
      </c>
    </row>
    <row r="97" spans="1:34" x14ac:dyDescent="0.2">
      <c r="A97" s="347">
        <f t="shared" ca="1" si="35"/>
        <v>0.01</v>
      </c>
      <c r="B97" s="304">
        <f t="shared" ca="1" si="36"/>
        <v>0.9300000000000006</v>
      </c>
      <c r="D97" s="306">
        <f t="shared" ca="1" si="37"/>
        <v>8.7822917335791004</v>
      </c>
      <c r="E97" s="307">
        <f t="shared" ca="1" si="38"/>
        <v>79.174182321906073</v>
      </c>
      <c r="F97" s="304">
        <f t="shared" ca="1" si="39"/>
        <v>79.659775259764046</v>
      </c>
      <c r="G97" s="306">
        <f t="shared" ca="1" si="40"/>
        <v>7.7133614005894628</v>
      </c>
      <c r="H97" s="307">
        <f t="shared" ca="1" si="41"/>
        <v>78.055436457970274</v>
      </c>
      <c r="I97" s="304">
        <f t="shared" ca="1" si="42"/>
        <v>78.435623952004988</v>
      </c>
      <c r="J97" s="306">
        <f t="shared" ca="1" si="43"/>
        <v>3.4189530513289537</v>
      </c>
      <c r="K97" s="307">
        <f t="shared" ca="1" si="44"/>
        <v>36.343167991724457</v>
      </c>
      <c r="L97" s="304">
        <f t="shared" ca="1" si="29"/>
        <v>36.503631321306877</v>
      </c>
      <c r="M97" s="306">
        <f t="shared" ca="1" si="45"/>
        <v>1.4722971018998132</v>
      </c>
      <c r="N97" s="304">
        <f t="shared" ca="1" si="46"/>
        <v>84.356410128201802</v>
      </c>
      <c r="P97" s="310">
        <f t="shared" ca="1" si="47"/>
        <v>3</v>
      </c>
      <c r="Q97" s="304">
        <f t="shared" ca="1" si="48"/>
        <v>747.84999999999991</v>
      </c>
      <c r="R97" s="306">
        <f t="shared" ca="1" si="49"/>
        <v>0.37531107138172431</v>
      </c>
      <c r="S97" s="307">
        <f t="shared" ca="1" si="50"/>
        <v>8.1461222376443505</v>
      </c>
      <c r="T97" s="304">
        <f t="shared" ca="1" si="30"/>
        <v>79.913459151291079</v>
      </c>
      <c r="U97" s="311">
        <f t="shared" ca="1" si="31"/>
        <v>0</v>
      </c>
      <c r="V97" s="306">
        <f t="shared" ca="1" si="32"/>
        <v>1.2205560373051525</v>
      </c>
      <c r="W97" s="304">
        <f t="shared" ca="1" si="33"/>
        <v>19.851774721603704</v>
      </c>
      <c r="Y97" s="314" t="str">
        <f t="shared" ca="1" si="51"/>
        <v/>
      </c>
      <c r="Z97" s="315" t="str">
        <f t="shared" ca="1" si="52"/>
        <v/>
      </c>
      <c r="AA97" s="316" t="str">
        <f t="shared" ca="1" si="53"/>
        <v/>
      </c>
      <c r="AC97" s="310" t="e">
        <f t="shared" ca="1" si="54"/>
        <v>#N/A</v>
      </c>
      <c r="AD97" s="323" t="e">
        <f t="shared" ca="1" si="55"/>
        <v>#N/A</v>
      </c>
      <c r="AE97" s="324">
        <f t="shared" ca="1" si="34"/>
        <v>36.343167991724457</v>
      </c>
      <c r="AG97" s="306">
        <f t="shared" ca="1" si="56"/>
        <v>79.653947990889719</v>
      </c>
      <c r="AH97" s="304">
        <f t="shared" ca="1" si="57"/>
        <v>89.416516100728913</v>
      </c>
    </row>
    <row r="98" spans="1:34" x14ac:dyDescent="0.2">
      <c r="A98" s="347">
        <f t="shared" ca="1" si="35"/>
        <v>0.01</v>
      </c>
      <c r="B98" s="304">
        <f t="shared" ca="1" si="36"/>
        <v>0.94000000000000061</v>
      </c>
      <c r="D98" s="306">
        <f t="shared" ca="1" si="37"/>
        <v>8.7781910912117631</v>
      </c>
      <c r="E98" s="307">
        <f t="shared" ca="1" si="38"/>
        <v>79.020990971541664</v>
      </c>
      <c r="F98" s="304">
        <f t="shared" ca="1" si="39"/>
        <v>79.507066685661968</v>
      </c>
      <c r="G98" s="306">
        <f t="shared" ca="1" si="40"/>
        <v>7.8011433115015807</v>
      </c>
      <c r="H98" s="307">
        <f t="shared" ca="1" si="41"/>
        <v>78.845646367685688</v>
      </c>
      <c r="I98" s="304">
        <f t="shared" ca="1" si="42"/>
        <v>79.230636676128839</v>
      </c>
      <c r="J98" s="306">
        <f t="shared" ca="1" si="43"/>
        <v>3.4965255748894091</v>
      </c>
      <c r="K98" s="307">
        <f t="shared" ca="1" si="44"/>
        <v>37.12767340585274</v>
      </c>
      <c r="L98" s="304">
        <f t="shared" ca="1" si="29"/>
        <v>37.291953872484619</v>
      </c>
      <c r="M98" s="306">
        <f t="shared" ca="1" si="45"/>
        <v>1.4721753414658889</v>
      </c>
      <c r="N98" s="304">
        <f t="shared" ca="1" si="46"/>
        <v>84.349433769226252</v>
      </c>
      <c r="P98" s="310">
        <f t="shared" ca="1" si="47"/>
        <v>3</v>
      </c>
      <c r="Q98" s="304">
        <f t="shared" ca="1" si="48"/>
        <v>746.67</v>
      </c>
      <c r="R98" s="306">
        <f t="shared" ca="1" si="49"/>
        <v>0.37471888435995465</v>
      </c>
      <c r="S98" s="307">
        <f t="shared" ca="1" si="50"/>
        <v>8.1423750488007514</v>
      </c>
      <c r="T98" s="304">
        <f t="shared" ca="1" si="30"/>
        <v>79.876699228735376</v>
      </c>
      <c r="U98" s="311">
        <f t="shared" ca="1" si="31"/>
        <v>0</v>
      </c>
      <c r="V98" s="306">
        <f t="shared" ca="1" si="32"/>
        <v>1.2204602874560178</v>
      </c>
      <c r="W98" s="304">
        <f t="shared" ca="1" si="33"/>
        <v>20.254654881933533</v>
      </c>
      <c r="Y98" s="314" t="str">
        <f t="shared" ca="1" si="51"/>
        <v/>
      </c>
      <c r="Z98" s="315" t="str">
        <f t="shared" ca="1" si="52"/>
        <v/>
      </c>
      <c r="AA98" s="316" t="str">
        <f t="shared" ca="1" si="53"/>
        <v/>
      </c>
      <c r="AC98" s="310" t="e">
        <f t="shared" ca="1" si="54"/>
        <v>#N/A</v>
      </c>
      <c r="AD98" s="323" t="e">
        <f t="shared" ca="1" si="55"/>
        <v>#N/A</v>
      </c>
      <c r="AE98" s="324">
        <f t="shared" ca="1" si="34"/>
        <v>37.12767340585274</v>
      </c>
      <c r="AG98" s="306">
        <f t="shared" ca="1" si="56"/>
        <v>79.501213680286725</v>
      </c>
      <c r="AH98" s="304">
        <f t="shared" ca="1" si="57"/>
        <v>89.263663356485353</v>
      </c>
    </row>
    <row r="99" spans="1:34" x14ac:dyDescent="0.2">
      <c r="A99" s="347">
        <f t="shared" ca="1" si="35"/>
        <v>0.01</v>
      </c>
      <c r="B99" s="304">
        <f t="shared" ca="1" si="36"/>
        <v>0.95000000000000062</v>
      </c>
      <c r="D99" s="306">
        <f t="shared" ca="1" si="37"/>
        <v>8.7738976794731585</v>
      </c>
      <c r="E99" s="307">
        <f t="shared" ca="1" si="38"/>
        <v>78.867211285436966</v>
      </c>
      <c r="F99" s="304">
        <f t="shared" ca="1" si="39"/>
        <v>79.353754142016626</v>
      </c>
      <c r="G99" s="306">
        <f t="shared" ca="1" si="40"/>
        <v>7.8888822882963119</v>
      </c>
      <c r="H99" s="307">
        <f t="shared" ca="1" si="41"/>
        <v>79.63431848054006</v>
      </c>
      <c r="I99" s="304">
        <f t="shared" ca="1" si="42"/>
        <v>80.024116012728811</v>
      </c>
      <c r="J99" s="306">
        <f t="shared" ca="1" si="43"/>
        <v>3.5749757028883984</v>
      </c>
      <c r="K99" s="307">
        <f t="shared" ca="1" si="44"/>
        <v>37.92007323009387</v>
      </c>
      <c r="L99" s="304">
        <f t="shared" ca="1" si="29"/>
        <v>38.088218717234916</v>
      </c>
      <c r="M99" s="306">
        <f t="shared" ca="1" si="45"/>
        <v>1.4720546398085357</v>
      </c>
      <c r="N99" s="304">
        <f t="shared" ca="1" si="46"/>
        <v>84.34251807367967</v>
      </c>
      <c r="P99" s="310">
        <f t="shared" ca="1" si="47"/>
        <v>3</v>
      </c>
      <c r="Q99" s="304">
        <f t="shared" ca="1" si="48"/>
        <v>745.4899999999999</v>
      </c>
      <c r="R99" s="306">
        <f t="shared" ca="1" si="49"/>
        <v>0.37412669733818499</v>
      </c>
      <c r="S99" s="307">
        <f t="shared" ca="1" si="50"/>
        <v>8.1386337818273695</v>
      </c>
      <c r="T99" s="304">
        <f t="shared" ca="1" si="30"/>
        <v>79.839997399726499</v>
      </c>
      <c r="U99" s="311">
        <f t="shared" ca="1" si="31"/>
        <v>0</v>
      </c>
      <c r="V99" s="306">
        <f t="shared" ca="1" si="32"/>
        <v>1.2203635816953955</v>
      </c>
      <c r="W99" s="304">
        <f t="shared" ca="1" si="33"/>
        <v>20.660741939256198</v>
      </c>
      <c r="Y99" s="314" t="str">
        <f t="shared" ca="1" si="51"/>
        <v/>
      </c>
      <c r="Z99" s="315" t="str">
        <f t="shared" ca="1" si="52"/>
        <v/>
      </c>
      <c r="AA99" s="316" t="str">
        <f t="shared" ca="1" si="53"/>
        <v/>
      </c>
      <c r="AC99" s="310" t="e">
        <f t="shared" ca="1" si="54"/>
        <v>#N/A</v>
      </c>
      <c r="AD99" s="323" t="e">
        <f t="shared" ca="1" si="55"/>
        <v>#N/A</v>
      </c>
      <c r="AE99" s="324">
        <f t="shared" ca="1" si="34"/>
        <v>37.92007323009387</v>
      </c>
      <c r="AG99" s="306">
        <f t="shared" ca="1" si="56"/>
        <v>79.347875366868792</v>
      </c>
      <c r="AH99" s="304">
        <f t="shared" ca="1" si="57"/>
        <v>89.110207506502277</v>
      </c>
    </row>
    <row r="100" spans="1:34" x14ac:dyDescent="0.2">
      <c r="A100" s="347">
        <f t="shared" ca="1" si="35"/>
        <v>0.01</v>
      </c>
      <c r="B100" s="304">
        <f t="shared" ca="1" si="36"/>
        <v>0.96000000000000063</v>
      </c>
      <c r="D100" s="306">
        <f t="shared" ca="1" si="37"/>
        <v>8.7694140622491989</v>
      </c>
      <c r="E100" s="307">
        <f t="shared" ca="1" si="38"/>
        <v>78.712846050944663</v>
      </c>
      <c r="F100" s="304">
        <f t="shared" ca="1" si="39"/>
        <v>79.199840633898305</v>
      </c>
      <c r="G100" s="306">
        <f t="shared" ca="1" si="40"/>
        <v>7.9765764289188041</v>
      </c>
      <c r="H100" s="307">
        <f t="shared" ca="1" si="41"/>
        <v>80.42144694104951</v>
      </c>
      <c r="I100" s="304">
        <f t="shared" ca="1" si="42"/>
        <v>80.816055951886341</v>
      </c>
      <c r="J100" s="306">
        <f t="shared" ca="1" si="43"/>
        <v>3.654302996474474</v>
      </c>
      <c r="K100" s="307">
        <f t="shared" ca="1" si="44"/>
        <v>38.720352057201815</v>
      </c>
      <c r="L100" s="304">
        <f t="shared" ca="1" si="29"/>
        <v>38.892410491298882</v>
      </c>
      <c r="M100" s="306">
        <f t="shared" ca="1" si="45"/>
        <v>1.471934975138651</v>
      </c>
      <c r="N100" s="304">
        <f t="shared" ca="1" si="46"/>
        <v>84.335661793138456</v>
      </c>
      <c r="P100" s="310">
        <f t="shared" ca="1" si="47"/>
        <v>3</v>
      </c>
      <c r="Q100" s="304">
        <f t="shared" ca="1" si="48"/>
        <v>744.31</v>
      </c>
      <c r="R100" s="306">
        <f t="shared" ca="1" si="49"/>
        <v>0.37353451031641538</v>
      </c>
      <c r="S100" s="307">
        <f t="shared" ca="1" si="50"/>
        <v>8.134898436724205</v>
      </c>
      <c r="T100" s="304">
        <f t="shared" ca="1" si="30"/>
        <v>79.803353664264449</v>
      </c>
      <c r="U100" s="311">
        <f t="shared" ca="1" si="31"/>
        <v>0</v>
      </c>
      <c r="V100" s="306">
        <f t="shared" ca="1" si="32"/>
        <v>1.2202659221310805</v>
      </c>
      <c r="W100" s="304">
        <f t="shared" ca="1" si="33"/>
        <v>21.070007505925275</v>
      </c>
      <c r="Y100" s="314" t="str">
        <f t="shared" ca="1" si="51"/>
        <v/>
      </c>
      <c r="Z100" s="315" t="str">
        <f t="shared" ca="1" si="52"/>
        <v/>
      </c>
      <c r="AA100" s="316" t="str">
        <f t="shared" ca="1" si="53"/>
        <v/>
      </c>
      <c r="AC100" s="310" t="e">
        <f t="shared" ca="1" si="54"/>
        <v>#N/A</v>
      </c>
      <c r="AD100" s="323" t="e">
        <f t="shared" ca="1" si="55"/>
        <v>#N/A</v>
      </c>
      <c r="AE100" s="324">
        <f t="shared" ca="1" si="34"/>
        <v>38.720352057201815</v>
      </c>
      <c r="AG100" s="306">
        <f t="shared" ca="1" si="56"/>
        <v>79.193936052939549</v>
      </c>
      <c r="AH100" s="304">
        <f t="shared" ca="1" si="57"/>
        <v>88.956151535205379</v>
      </c>
    </row>
    <row r="101" spans="1:34" x14ac:dyDescent="0.2">
      <c r="A101" s="347">
        <f t="shared" ca="1" si="35"/>
        <v>0.01</v>
      </c>
      <c r="B101" s="304">
        <f t="shared" ca="1" si="36"/>
        <v>0.97000000000000064</v>
      </c>
      <c r="D101" s="306">
        <f t="shared" ca="1" si="37"/>
        <v>8.7647427357444343</v>
      </c>
      <c r="E101" s="307">
        <f t="shared" ca="1" si="38"/>
        <v>78.557898077065559</v>
      </c>
      <c r="F101" s="304">
        <f t="shared" ca="1" si="39"/>
        <v>79.045329182124391</v>
      </c>
      <c r="G101" s="306">
        <f t="shared" ca="1" si="40"/>
        <v>8.0642238562762483</v>
      </c>
      <c r="H101" s="307">
        <f t="shared" ca="1" si="41"/>
        <v>81.207025921820161</v>
      </c>
      <c r="I101" s="304">
        <f t="shared" ca="1" si="42"/>
        <v>81.606450513861375</v>
      </c>
      <c r="J101" s="306">
        <f t="shared" ca="1" si="43"/>
        <v>3.734506997900449</v>
      </c>
      <c r="K101" s="307">
        <f t="shared" ca="1" si="44"/>
        <v>39.528494421516164</v>
      </c>
      <c r="L101" s="304">
        <f t="shared" ca="1" si="29"/>
        <v>39.704513770466974</v>
      </c>
      <c r="M101" s="306">
        <f t="shared" ca="1" si="45"/>
        <v>1.4718163263253623</v>
      </c>
      <c r="N101" s="304">
        <f t="shared" ca="1" si="46"/>
        <v>84.328863716892783</v>
      </c>
      <c r="P101" s="310">
        <f t="shared" ca="1" si="47"/>
        <v>3</v>
      </c>
      <c r="Q101" s="304">
        <f t="shared" ca="1" si="48"/>
        <v>743.12999999999988</v>
      </c>
      <c r="R101" s="306">
        <f t="shared" ca="1" si="49"/>
        <v>0.37294232329464566</v>
      </c>
      <c r="S101" s="307">
        <f t="shared" ca="1" si="50"/>
        <v>8.1311690134912578</v>
      </c>
      <c r="T101" s="304">
        <f t="shared" ca="1" si="30"/>
        <v>79.76676802234924</v>
      </c>
      <c r="U101" s="311">
        <f t="shared" ca="1" si="31"/>
        <v>0</v>
      </c>
      <c r="V101" s="306">
        <f t="shared" ca="1" si="32"/>
        <v>1.2201673108796112</v>
      </c>
      <c r="W101" s="304">
        <f t="shared" ca="1" si="33"/>
        <v>21.482423129300486</v>
      </c>
      <c r="Y101" s="314" t="str">
        <f t="shared" ca="1" si="51"/>
        <v/>
      </c>
      <c r="Z101" s="315" t="str">
        <f t="shared" ca="1" si="52"/>
        <v/>
      </c>
      <c r="AA101" s="316" t="str">
        <f t="shared" ca="1" si="53"/>
        <v/>
      </c>
      <c r="AC101" s="310" t="e">
        <f t="shared" ca="1" si="54"/>
        <v>#N/A</v>
      </c>
      <c r="AD101" s="323" t="e">
        <f t="shared" ca="1" si="55"/>
        <v>#N/A</v>
      </c>
      <c r="AE101" s="324">
        <f t="shared" ca="1" si="34"/>
        <v>39.528494421516164</v>
      </c>
      <c r="AG101" s="306">
        <f t="shared" ca="1" si="56"/>
        <v>79.039398756596754</v>
      </c>
      <c r="AH101" s="304">
        <f t="shared" ca="1" si="57"/>
        <v>88.801498443339526</v>
      </c>
    </row>
    <row r="102" spans="1:34" x14ac:dyDescent="0.2">
      <c r="A102" s="347">
        <f t="shared" ca="1" si="35"/>
        <v>0.01</v>
      </c>
      <c r="B102" s="304">
        <f t="shared" ca="1" si="36"/>
        <v>0.98000000000000065</v>
      </c>
      <c r="D102" s="306">
        <f t="shared" ca="1" si="37"/>
        <v>8.7598861313088658</v>
      </c>
      <c r="E102" s="307">
        <f t="shared" ca="1" si="38"/>
        <v>78.402370194032954</v>
      </c>
      <c r="F102" s="304">
        <f t="shared" ca="1" si="39"/>
        <v>78.890222823082993</v>
      </c>
      <c r="G102" s="306">
        <f t="shared" ca="1" si="40"/>
        <v>8.1518227175893365</v>
      </c>
      <c r="H102" s="307">
        <f t="shared" ca="1" si="41"/>
        <v>81.991049623760489</v>
      </c>
      <c r="I102" s="304">
        <f t="shared" ca="1" si="42"/>
        <v>82.395293749248566</v>
      </c>
      <c r="J102" s="306">
        <f t="shared" ca="1" si="43"/>
        <v>3.8155872307697769</v>
      </c>
      <c r="K102" s="307">
        <f t="shared" ca="1" si="44"/>
        <v>40.344484799244064</v>
      </c>
      <c r="L102" s="304">
        <f t="shared" ca="1" si="29"/>
        <v>40.52451307088154</v>
      </c>
      <c r="M102" s="306">
        <f t="shared" ca="1" si="45"/>
        <v>1.4716986728694916</v>
      </c>
      <c r="N102" s="304">
        <f t="shared" ca="1" si="46"/>
        <v>84.322122670426268</v>
      </c>
      <c r="P102" s="310">
        <f t="shared" ca="1" si="47"/>
        <v>3</v>
      </c>
      <c r="Q102" s="304">
        <f t="shared" ca="1" si="48"/>
        <v>741.94999999999993</v>
      </c>
      <c r="R102" s="306">
        <f t="shared" ca="1" si="49"/>
        <v>0.37235013627287605</v>
      </c>
      <c r="S102" s="307">
        <f t="shared" ca="1" si="50"/>
        <v>8.1274455121285296</v>
      </c>
      <c r="T102" s="304">
        <f t="shared" ca="1" si="30"/>
        <v>79.730240473980885</v>
      </c>
      <c r="U102" s="311">
        <f t="shared" ca="1" si="31"/>
        <v>0</v>
      </c>
      <c r="V102" s="306">
        <f t="shared" ca="1" si="32"/>
        <v>1.2200677500662169</v>
      </c>
      <c r="W102" s="304">
        <f t="shared" ca="1" si="33"/>
        <v>21.89796029350002</v>
      </c>
      <c r="Y102" s="314" t="str">
        <f t="shared" ca="1" si="51"/>
        <v/>
      </c>
      <c r="Z102" s="315" t="str">
        <f t="shared" ca="1" si="52"/>
        <v/>
      </c>
      <c r="AA102" s="316" t="str">
        <f t="shared" ca="1" si="53"/>
        <v/>
      </c>
      <c r="AC102" s="310" t="e">
        <f t="shared" ca="1" si="54"/>
        <v>#N/A</v>
      </c>
      <c r="AD102" s="323" t="e">
        <f t="shared" ca="1" si="55"/>
        <v>#N/A</v>
      </c>
      <c r="AE102" s="324">
        <f t="shared" ca="1" si="34"/>
        <v>40.344484799244064</v>
      </c>
      <c r="AG102" s="306">
        <f t="shared" ca="1" si="56"/>
        <v>78.884266511553449</v>
      </c>
      <c r="AH102" s="304">
        <f t="shared" ca="1" si="57"/>
        <v>88.646251247769143</v>
      </c>
    </row>
    <row r="103" spans="1:34" x14ac:dyDescent="0.2">
      <c r="A103" s="347">
        <f t="shared" ca="1" si="35"/>
        <v>0.01</v>
      </c>
      <c r="B103" s="304">
        <f t="shared" ca="1" si="36"/>
        <v>0.99000000000000066</v>
      </c>
      <c r="D103" s="306">
        <f t="shared" ca="1" si="37"/>
        <v>8.7548466181203217</v>
      </c>
      <c r="E103" s="307">
        <f t="shared" ca="1" si="38"/>
        <v>78.246265252906397</v>
      </c>
      <c r="F103" s="304">
        <f t="shared" ca="1" si="39"/>
        <v>78.734524608554025</v>
      </c>
      <c r="G103" s="306">
        <f t="shared" ca="1" si="40"/>
        <v>8.2393711837705403</v>
      </c>
      <c r="H103" s="307">
        <f t="shared" ca="1" si="41"/>
        <v>82.773512276289551</v>
      </c>
      <c r="I103" s="304">
        <f t="shared" ca="1" si="42"/>
        <v>83.182579739131711</v>
      </c>
      <c r="J103" s="306">
        <f t="shared" ca="1" si="43"/>
        <v>3.8975432002765764</v>
      </c>
      <c r="K103" s="307">
        <f t="shared" ca="1" si="44"/>
        <v>41.168307608744314</v>
      </c>
      <c r="L103" s="304">
        <f t="shared" ca="1" si="29"/>
        <v>41.352392849340859</v>
      </c>
      <c r="M103" s="306">
        <f t="shared" ca="1" si="45"/>
        <v>1.4715819948783491</v>
      </c>
      <c r="N103" s="304">
        <f t="shared" ca="1" si="46"/>
        <v>84.31543751397173</v>
      </c>
      <c r="P103" s="310">
        <f t="shared" ca="1" si="47"/>
        <v>3</v>
      </c>
      <c r="Q103" s="304">
        <f t="shared" ca="1" si="48"/>
        <v>740.77</v>
      </c>
      <c r="R103" s="306">
        <f t="shared" ca="1" si="49"/>
        <v>0.37175794925110639</v>
      </c>
      <c r="S103" s="307">
        <f t="shared" ca="1" si="50"/>
        <v>8.1237279326360188</v>
      </c>
      <c r="T103" s="304">
        <f t="shared" ca="1" si="30"/>
        <v>79.693771019159342</v>
      </c>
      <c r="U103" s="311">
        <f t="shared" ca="1" si="31"/>
        <v>0</v>
      </c>
      <c r="V103" s="306">
        <f t="shared" ca="1" si="32"/>
        <v>1.2199672418247631</v>
      </c>
      <c r="W103" s="304">
        <f t="shared" ca="1" si="33"/>
        <v>22.316590421153652</v>
      </c>
      <c r="Y103" s="314" t="str">
        <f t="shared" ca="1" si="51"/>
        <v/>
      </c>
      <c r="Z103" s="315" t="str">
        <f t="shared" ca="1" si="52"/>
        <v/>
      </c>
      <c r="AA103" s="316" t="str">
        <f t="shared" ca="1" si="53"/>
        <v/>
      </c>
      <c r="AC103" s="310" t="e">
        <f t="shared" ca="1" si="54"/>
        <v>#N/A</v>
      </c>
      <c r="AD103" s="323" t="e">
        <f t="shared" ca="1" si="55"/>
        <v>#N/A</v>
      </c>
      <c r="AE103" s="324">
        <f t="shared" ca="1" si="34"/>
        <v>41.168307608744314</v>
      </c>
      <c r="AG103" s="306">
        <f t="shared" ca="1" si="56"/>
        <v>78.72854236695693</v>
      </c>
      <c r="AH103" s="304">
        <f t="shared" ca="1" si="57"/>
        <v>88.490412981277373</v>
      </c>
    </row>
    <row r="104" spans="1:34" x14ac:dyDescent="0.2">
      <c r="A104" s="347">
        <f t="shared" ca="1" si="35"/>
        <v>0.01</v>
      </c>
      <c r="B104" s="304">
        <f t="shared" ca="1" si="36"/>
        <v>1.0000000000000007</v>
      </c>
      <c r="D104" s="306">
        <f t="shared" ca="1" si="37"/>
        <v>8.7496265057316069</v>
      </c>
      <c r="E104" s="307">
        <f t="shared" ca="1" si="38"/>
        <v>78.089586125174904</v>
      </c>
      <c r="F104" s="304">
        <f t="shared" ca="1" si="39"/>
        <v>78.578237605528614</v>
      </c>
      <c r="G104" s="306">
        <f t="shared" ca="1" si="40"/>
        <v>8.3268674488278567</v>
      </c>
      <c r="H104" s="307">
        <f t="shared" ca="1" si="41"/>
        <v>83.554408137541301</v>
      </c>
      <c r="I104" s="304">
        <f t="shared" ca="1" si="42"/>
        <v>83.968302595236366</v>
      </c>
      <c r="J104" s="306">
        <f t="shared" ca="1" si="43"/>
        <v>3.9803743934395683</v>
      </c>
      <c r="K104" s="307">
        <f t="shared" ca="1" si="44"/>
        <v>41.999947210813467</v>
      </c>
      <c r="L104" s="304">
        <f t="shared" ca="1" si="29"/>
        <v>42.188137503604821</v>
      </c>
      <c r="M104" s="306">
        <f t="shared" ca="1" si="45"/>
        <v>1.4714662730417776</v>
      </c>
      <c r="N104" s="304">
        <f t="shared" ca="1" si="46"/>
        <v>84.308807141138672</v>
      </c>
      <c r="P104" s="310">
        <f t="shared" ca="1" si="47"/>
        <v>3</v>
      </c>
      <c r="Q104" s="304">
        <f t="shared" ca="1" si="48"/>
        <v>739.58999999999992</v>
      </c>
      <c r="R104" s="306">
        <f t="shared" ca="1" si="49"/>
        <v>0.37116576222933673</v>
      </c>
      <c r="S104" s="307">
        <f t="shared" ca="1" si="50"/>
        <v>8.1200162750137252</v>
      </c>
      <c r="T104" s="304">
        <f t="shared" ca="1" si="30"/>
        <v>79.657359657884655</v>
      </c>
      <c r="U104" s="311">
        <f t="shared" ca="1" si="31"/>
        <v>0</v>
      </c>
      <c r="V104" s="306">
        <f t="shared" ca="1" si="32"/>
        <v>1.2198657882976986</v>
      </c>
      <c r="W104" s="304">
        <f t="shared" ca="1" si="33"/>
        <v>22.738284875156609</v>
      </c>
      <c r="Y104" s="314" t="str">
        <f t="shared" ca="1" si="51"/>
        <v/>
      </c>
      <c r="Z104" s="315" t="str">
        <f t="shared" ca="1" si="52"/>
        <v/>
      </c>
      <c r="AA104" s="316" t="str">
        <f t="shared" ca="1" si="53"/>
        <v/>
      </c>
      <c r="AC104" s="310">
        <f t="shared" ca="1" si="54"/>
        <v>1.0000000000000007</v>
      </c>
      <c r="AD104" s="323">
        <f t="shared" ca="1" si="55"/>
        <v>3.9803743934395683</v>
      </c>
      <c r="AE104" s="324">
        <f t="shared" ca="1" si="34"/>
        <v>41.999947210813467</v>
      </c>
      <c r="AG104" s="306">
        <f t="shared" ca="1" si="56"/>
        <v>78.57222938720605</v>
      </c>
      <c r="AH104" s="304">
        <f t="shared" ca="1" si="57"/>
        <v>88.333986692364576</v>
      </c>
    </row>
    <row r="105" spans="1:34" x14ac:dyDescent="0.2">
      <c r="A105" s="347">
        <f t="shared" ca="1" si="35"/>
        <v>0.01</v>
      </c>
      <c r="B105" s="304">
        <f t="shared" ca="1" si="36"/>
        <v>1.0100000000000007</v>
      </c>
      <c r="D105" s="306">
        <f t="shared" ca="1" si="37"/>
        <v>8.7416610870800255</v>
      </c>
      <c r="E105" s="307">
        <f t="shared" ca="1" si="38"/>
        <v>77.906578023919877</v>
      </c>
      <c r="F105" s="304">
        <f t="shared" ca="1" si="39"/>
        <v>78.395481616981499</v>
      </c>
      <c r="G105" s="306">
        <f t="shared" ca="1" si="40"/>
        <v>8.414284059698657</v>
      </c>
      <c r="H105" s="307">
        <f t="shared" ca="1" si="41"/>
        <v>84.333473917780495</v>
      </c>
      <c r="I105" s="304">
        <f t="shared" ca="1" si="42"/>
        <v>84.752197607367449</v>
      </c>
      <c r="J105" s="306">
        <f t="shared" ca="1" si="43"/>
        <v>4.0640801509822007</v>
      </c>
      <c r="K105" s="307">
        <f t="shared" ca="1" si="44"/>
        <v>42.839386621090078</v>
      </c>
      <c r="L105" s="304">
        <f t="shared" ca="1" si="29"/>
        <v>43.03173007845303</v>
      </c>
      <c r="M105" s="306">
        <f t="shared" ca="1" si="45"/>
        <v>1.4713514882587964</v>
      </c>
      <c r="N105" s="304">
        <f t="shared" ca="1" si="46"/>
        <v>84.302230457521532</v>
      </c>
      <c r="P105" s="310">
        <f t="shared" ca="1" si="47"/>
        <v>4</v>
      </c>
      <c r="Q105" s="304">
        <f t="shared" ca="1" si="48"/>
        <v>738.19999999999982</v>
      </c>
      <c r="R105" s="306">
        <f t="shared" ca="1" si="49"/>
        <v>0.37046818599182835</v>
      </c>
      <c r="S105" s="307">
        <f t="shared" ca="1" si="50"/>
        <v>8.1163115931538066</v>
      </c>
      <c r="T105" s="304">
        <f t="shared" ca="1" si="30"/>
        <v>79.621016728838853</v>
      </c>
      <c r="U105" s="311">
        <f t="shared" ca="1" si="31"/>
        <v>0</v>
      </c>
      <c r="V105" s="306">
        <f t="shared" ca="1" si="32"/>
        <v>1.2197633917930946</v>
      </c>
      <c r="W105" s="304">
        <f t="shared" ca="1" si="33"/>
        <v>23.162873473700195</v>
      </c>
      <c r="Y105" s="314" t="str">
        <f t="shared" ca="1" si="51"/>
        <v/>
      </c>
      <c r="Z105" s="315" t="str">
        <f t="shared" ca="1" si="52"/>
        <v/>
      </c>
      <c r="AA105" s="316" t="str">
        <f t="shared" ca="1" si="53"/>
        <v/>
      </c>
      <c r="AC105" s="310" t="e">
        <f t="shared" ca="1" si="54"/>
        <v>#N/A</v>
      </c>
      <c r="AD105" s="323" t="e">
        <f t="shared" ca="1" si="55"/>
        <v>#N/A</v>
      </c>
      <c r="AE105" s="324">
        <f t="shared" ca="1" si="34"/>
        <v>42.839386621090078</v>
      </c>
      <c r="AG105" s="306">
        <f t="shared" ca="1" si="56"/>
        <v>78.389445380284698</v>
      </c>
      <c r="AH105" s="304">
        <f t="shared" ca="1" si="57"/>
        <v>88.151090173563887</v>
      </c>
    </row>
    <row r="106" spans="1:34" x14ac:dyDescent="0.2">
      <c r="A106" s="347">
        <f t="shared" ca="1" si="35"/>
        <v>0.01</v>
      </c>
      <c r="B106" s="304">
        <f t="shared" ca="1" si="36"/>
        <v>1.0200000000000007</v>
      </c>
      <c r="D106" s="306">
        <f t="shared" ca="1" si="37"/>
        <v>8.7309408098885672</v>
      </c>
      <c r="E106" s="307">
        <f t="shared" ca="1" si="38"/>
        <v>77.6972155687114</v>
      </c>
      <c r="F106" s="304">
        <f t="shared" ca="1" si="39"/>
        <v>78.186230466474001</v>
      </c>
      <c r="G106" s="306">
        <f t="shared" ca="1" si="40"/>
        <v>8.5015934677975427</v>
      </c>
      <c r="H106" s="307">
        <f t="shared" ca="1" si="41"/>
        <v>85.110446073467614</v>
      </c>
      <c r="I106" s="304">
        <f t="shared" ca="1" si="42"/>
        <v>85.533999803097814</v>
      </c>
      <c r="J106" s="306">
        <f t="shared" ca="1" si="43"/>
        <v>4.1486595386196816</v>
      </c>
      <c r="K106" s="307">
        <f t="shared" ca="1" si="44"/>
        <v>43.686606221046318</v>
      </c>
      <c r="L106" s="304">
        <f t="shared" ca="1" si="29"/>
        <v>43.883150970277221</v>
      </c>
      <c r="M106" s="306">
        <f t="shared" ca="1" si="45"/>
        <v>1.4712376216390859</v>
      </c>
      <c r="N106" s="304">
        <f t="shared" ca="1" si="46"/>
        <v>84.295706380784694</v>
      </c>
      <c r="P106" s="310">
        <f t="shared" ca="1" si="47"/>
        <v>4</v>
      </c>
      <c r="Q106" s="304">
        <f t="shared" ca="1" si="48"/>
        <v>736.59999999999991</v>
      </c>
      <c r="R106" s="306">
        <f t="shared" ca="1" si="49"/>
        <v>0.36966522053858142</v>
      </c>
      <c r="S106" s="307">
        <f t="shared" ca="1" si="50"/>
        <v>8.1126149409484203</v>
      </c>
      <c r="T106" s="304">
        <f t="shared" ca="1" si="30"/>
        <v>79.584752570704012</v>
      </c>
      <c r="U106" s="311">
        <f t="shared" ca="1" si="31"/>
        <v>0</v>
      </c>
      <c r="V106" s="306">
        <f t="shared" ca="1" si="32"/>
        <v>1.219660054941772</v>
      </c>
      <c r="W106" s="304">
        <f t="shared" ca="1" si="33"/>
        <v>23.590180648415245</v>
      </c>
      <c r="Y106" s="314" t="str">
        <f t="shared" ca="1" si="51"/>
        <v/>
      </c>
      <c r="Z106" s="315" t="str">
        <f t="shared" ca="1" si="52"/>
        <v/>
      </c>
      <c r="AA106" s="316" t="str">
        <f t="shared" ca="1" si="53"/>
        <v/>
      </c>
      <c r="AC106" s="310" t="e">
        <f t="shared" ca="1" si="54"/>
        <v>#N/A</v>
      </c>
      <c r="AD106" s="323" t="e">
        <f t="shared" ca="1" si="55"/>
        <v>#N/A</v>
      </c>
      <c r="AE106" s="324">
        <f t="shared" ca="1" si="34"/>
        <v>43.686606221046318</v>
      </c>
      <c r="AG106" s="306">
        <f t="shared" ca="1" si="56"/>
        <v>78.180164123023516</v>
      </c>
      <c r="AH106" s="304">
        <f t="shared" ca="1" si="57"/>
        <v>87.941697186344456</v>
      </c>
    </row>
    <row r="107" spans="1:34" x14ac:dyDescent="0.2">
      <c r="A107" s="347">
        <f t="shared" ca="1" si="35"/>
        <v>0.01</v>
      </c>
      <c r="B107" s="304">
        <f t="shared" ca="1" si="36"/>
        <v>1.0300000000000007</v>
      </c>
      <c r="D107" s="306">
        <f t="shared" ca="1" si="37"/>
        <v>8.7200314979520943</v>
      </c>
      <c r="E107" s="307">
        <f t="shared" ca="1" si="38"/>
        <v>77.487254729548908</v>
      </c>
      <c r="F107" s="304">
        <f t="shared" ca="1" si="39"/>
        <v>77.97636561707192</v>
      </c>
      <c r="G107" s="306">
        <f t="shared" ca="1" si="40"/>
        <v>8.5887937827770635</v>
      </c>
      <c r="H107" s="307">
        <f t="shared" ca="1" si="41"/>
        <v>85.885318620763101</v>
      </c>
      <c r="I107" s="304">
        <f t="shared" ca="1" si="42"/>
        <v>86.313703044377988</v>
      </c>
      <c r="J107" s="306">
        <f t="shared" ca="1" si="43"/>
        <v>4.234111474872555</v>
      </c>
      <c r="K107" s="307">
        <f t="shared" ca="1" si="44"/>
        <v>44.541585044517475</v>
      </c>
      <c r="L107" s="304">
        <f t="shared" ca="1" si="29"/>
        <v>44.742379219925603</v>
      </c>
      <c r="M107" s="306">
        <f t="shared" ca="1" si="45"/>
        <v>1.471124654842989</v>
      </c>
      <c r="N107" s="304">
        <f t="shared" ca="1" si="46"/>
        <v>84.289233860143241</v>
      </c>
      <c r="P107" s="310">
        <f t="shared" ca="1" si="47"/>
        <v>4</v>
      </c>
      <c r="Q107" s="304">
        <f t="shared" ca="1" si="48"/>
        <v>734.99999999999989</v>
      </c>
      <c r="R107" s="306">
        <f t="shared" ca="1" si="49"/>
        <v>0.36886225508533443</v>
      </c>
      <c r="S107" s="307">
        <f t="shared" ca="1" si="50"/>
        <v>8.1089263183975664</v>
      </c>
      <c r="T107" s="304">
        <f t="shared" ca="1" si="30"/>
        <v>79.548567183480131</v>
      </c>
      <c r="U107" s="311">
        <f t="shared" ca="1" si="31"/>
        <v>0</v>
      </c>
      <c r="V107" s="306">
        <f t="shared" ca="1" si="32"/>
        <v>1.2195557805402502</v>
      </c>
      <c r="W107" s="304">
        <f t="shared" ca="1" si="33"/>
        <v>24.020169679749888</v>
      </c>
      <c r="Y107" s="314" t="str">
        <f t="shared" ca="1" si="51"/>
        <v/>
      </c>
      <c r="Z107" s="315" t="str">
        <f t="shared" ca="1" si="52"/>
        <v/>
      </c>
      <c r="AA107" s="316" t="str">
        <f t="shared" ca="1" si="53"/>
        <v/>
      </c>
      <c r="AC107" s="310" t="e">
        <f t="shared" ca="1" si="54"/>
        <v>#N/A</v>
      </c>
      <c r="AD107" s="323" t="e">
        <f t="shared" ca="1" si="55"/>
        <v>#N/A</v>
      </c>
      <c r="AE107" s="324">
        <f t="shared" ca="1" si="34"/>
        <v>44.541585044517475</v>
      </c>
      <c r="AG107" s="306">
        <f t="shared" ca="1" si="56"/>
        <v>77.970269053415194</v>
      </c>
      <c r="AH107" s="304">
        <f t="shared" ca="1" si="57"/>
        <v>87.731691153431129</v>
      </c>
    </row>
    <row r="108" spans="1:34" x14ac:dyDescent="0.2">
      <c r="A108" s="347">
        <f t="shared" ca="1" si="35"/>
        <v>0.01</v>
      </c>
      <c r="B108" s="304">
        <f t="shared" ca="1" si="36"/>
        <v>1.0400000000000007</v>
      </c>
      <c r="D108" s="306">
        <f t="shared" ca="1" si="37"/>
        <v>8.7089355486691176</v>
      </c>
      <c r="E108" s="307">
        <f t="shared" ca="1" si="38"/>
        <v>77.276699641691863</v>
      </c>
      <c r="F108" s="304">
        <f t="shared" ca="1" si="39"/>
        <v>77.76589140428554</v>
      </c>
      <c r="G108" s="306">
        <f t="shared" ca="1" si="40"/>
        <v>8.6758831382637549</v>
      </c>
      <c r="H108" s="307">
        <f t="shared" ca="1" si="41"/>
        <v>86.658085617180021</v>
      </c>
      <c r="I108" s="304">
        <f t="shared" ca="1" si="42"/>
        <v>87.091301236480049</v>
      </c>
      <c r="J108" s="306">
        <f t="shared" ca="1" si="43"/>
        <v>4.3204348594777588</v>
      </c>
      <c r="K108" s="307">
        <f t="shared" ca="1" si="44"/>
        <v>45.404302065707192</v>
      </c>
      <c r="L108" s="304">
        <f t="shared" ca="1" si="29"/>
        <v>45.609393807076337</v>
      </c>
      <c r="M108" s="306">
        <f t="shared" ca="1" si="45"/>
        <v>1.4710125700600449</v>
      </c>
      <c r="N108" s="304">
        <f t="shared" ca="1" si="46"/>
        <v>84.282811875132893</v>
      </c>
      <c r="P108" s="310">
        <f t="shared" ca="1" si="47"/>
        <v>4</v>
      </c>
      <c r="Q108" s="304">
        <f t="shared" ca="1" si="48"/>
        <v>733.39999999999986</v>
      </c>
      <c r="R108" s="306">
        <f t="shared" ca="1" si="49"/>
        <v>0.36805928963208739</v>
      </c>
      <c r="S108" s="307">
        <f t="shared" ca="1" si="50"/>
        <v>8.1052457255012449</v>
      </c>
      <c r="T108" s="304">
        <f t="shared" ca="1" si="30"/>
        <v>79.51246056716721</v>
      </c>
      <c r="U108" s="311">
        <f t="shared" ca="1" si="31"/>
        <v>0</v>
      </c>
      <c r="V108" s="306">
        <f t="shared" ca="1" si="32"/>
        <v>1.2194505713935877</v>
      </c>
      <c r="W108" s="304">
        <f t="shared" ca="1" si="33"/>
        <v>24.452803837369473</v>
      </c>
      <c r="Y108" s="314" t="str">
        <f t="shared" ca="1" si="51"/>
        <v/>
      </c>
      <c r="Z108" s="315" t="str">
        <f t="shared" ca="1" si="52"/>
        <v/>
      </c>
      <c r="AA108" s="316" t="str">
        <f t="shared" ca="1" si="53"/>
        <v/>
      </c>
      <c r="AC108" s="310" t="e">
        <f t="shared" ca="1" si="54"/>
        <v>#N/A</v>
      </c>
      <c r="AD108" s="323" t="e">
        <f t="shared" ca="1" si="55"/>
        <v>#N/A</v>
      </c>
      <c r="AE108" s="324">
        <f t="shared" ca="1" si="34"/>
        <v>45.404302065707192</v>
      </c>
      <c r="AG108" s="306">
        <f t="shared" ca="1" si="56"/>
        <v>77.759764503811283</v>
      </c>
      <c r="AH108" s="304">
        <f t="shared" ca="1" si="57"/>
        <v>87.521076392336084</v>
      </c>
    </row>
    <row r="109" spans="1:34" x14ac:dyDescent="0.2">
      <c r="A109" s="347">
        <f t="shared" ca="1" si="35"/>
        <v>0.01</v>
      </c>
      <c r="B109" s="304">
        <f t="shared" ca="1" si="36"/>
        <v>1.0500000000000007</v>
      </c>
      <c r="D109" s="306">
        <f t="shared" ca="1" si="37"/>
        <v>8.6976553044999001</v>
      </c>
      <c r="E109" s="307">
        <f t="shared" ca="1" si="38"/>
        <v>77.065554457607632</v>
      </c>
      <c r="F109" s="304">
        <f t="shared" ca="1" si="39"/>
        <v>77.554812175998364</v>
      </c>
      <c r="G109" s="306">
        <f t="shared" ca="1" si="40"/>
        <v>8.7628596913087531</v>
      </c>
      <c r="H109" s="307">
        <f t="shared" ca="1" si="41"/>
        <v>87.428741161756093</v>
      </c>
      <c r="I109" s="304">
        <f t="shared" ca="1" si="42"/>
        <v>87.866788328121487</v>
      </c>
      <c r="J109" s="306">
        <f t="shared" ca="1" si="43"/>
        <v>4.4076285736256215</v>
      </c>
      <c r="K109" s="307">
        <f t="shared" ca="1" si="44"/>
        <v>46.274736199601875</v>
      </c>
      <c r="L109" s="304">
        <f t="shared" ca="1" si="29"/>
        <v>46.484173650671529</v>
      </c>
      <c r="M109" s="306">
        <f t="shared" ca="1" si="45"/>
        <v>1.4709013499885597</v>
      </c>
      <c r="N109" s="304">
        <f t="shared" ca="1" si="46"/>
        <v>84.276439434439652</v>
      </c>
      <c r="P109" s="310">
        <f t="shared" ca="1" si="47"/>
        <v>4</v>
      </c>
      <c r="Q109" s="304">
        <f t="shared" ca="1" si="48"/>
        <v>731.79999999999984</v>
      </c>
      <c r="R109" s="306">
        <f t="shared" ca="1" si="49"/>
        <v>0.36725632417884041</v>
      </c>
      <c r="S109" s="307">
        <f t="shared" ca="1" si="50"/>
        <v>8.1015731622594558</v>
      </c>
      <c r="T109" s="304">
        <f t="shared" ca="1" si="30"/>
        <v>79.476432721765264</v>
      </c>
      <c r="U109" s="311">
        <f t="shared" ca="1" si="31"/>
        <v>0</v>
      </c>
      <c r="V109" s="306">
        <f t="shared" ca="1" si="32"/>
        <v>1.2193444303153098</v>
      </c>
      <c r="W109" s="304">
        <f t="shared" ca="1" si="33"/>
        <v>24.888046382493819</v>
      </c>
      <c r="Y109" s="314" t="str">
        <f t="shared" ca="1" si="51"/>
        <v/>
      </c>
      <c r="Z109" s="315" t="str">
        <f t="shared" ca="1" si="52"/>
        <v/>
      </c>
      <c r="AA109" s="316" t="str">
        <f t="shared" ca="1" si="53"/>
        <v/>
      </c>
      <c r="AC109" s="310" t="e">
        <f t="shared" ca="1" si="54"/>
        <v>#N/A</v>
      </c>
      <c r="AD109" s="323" t="e">
        <f t="shared" ca="1" si="55"/>
        <v>#N/A</v>
      </c>
      <c r="AE109" s="324">
        <f t="shared" ca="1" si="34"/>
        <v>46.274736199601875</v>
      </c>
      <c r="AG109" s="306">
        <f t="shared" ca="1" si="56"/>
        <v>77.548654818956521</v>
      </c>
      <c r="AH109" s="304">
        <f t="shared" ca="1" si="57"/>
        <v>87.309857233376832</v>
      </c>
    </row>
    <row r="110" spans="1:34" x14ac:dyDescent="0.2">
      <c r="A110" s="347">
        <f t="shared" ca="1" si="35"/>
        <v>0.01</v>
      </c>
      <c r="B110" s="304">
        <f t="shared" ca="1" si="36"/>
        <v>1.0600000000000007</v>
      </c>
      <c r="D110" s="306">
        <f t="shared" ca="1" si="37"/>
        <v>8.6861930551270436</v>
      </c>
      <c r="E110" s="307">
        <f t="shared" ca="1" si="38"/>
        <v>76.85382334649988</v>
      </c>
      <c r="F110" s="304">
        <f t="shared" ca="1" si="39"/>
        <v>77.343132292181878</v>
      </c>
      <c r="G110" s="306">
        <f t="shared" ca="1" si="40"/>
        <v>8.8497216218600236</v>
      </c>
      <c r="H110" s="307">
        <f t="shared" ca="1" si="41"/>
        <v>88.197279395221088</v>
      </c>
      <c r="I110" s="304">
        <f t="shared" ca="1" si="42"/>
        <v>88.640158311586447</v>
      </c>
      <c r="J110" s="306">
        <f t="shared" ca="1" si="43"/>
        <v>4.4956914801914651</v>
      </c>
      <c r="K110" s="307">
        <f t="shared" ca="1" si="44"/>
        <v>47.152866302386762</v>
      </c>
      <c r="L110" s="304">
        <f t="shared" ca="1" si="29"/>
        <v>47.366697609352364</v>
      </c>
      <c r="M110" s="306">
        <f t="shared" ca="1" si="45"/>
        <v>1.4707909778161612</v>
      </c>
      <c r="N110" s="304">
        <f t="shared" ca="1" si="46"/>
        <v>84.270115574785521</v>
      </c>
      <c r="P110" s="310">
        <f t="shared" ca="1" si="47"/>
        <v>4</v>
      </c>
      <c r="Q110" s="304">
        <f t="shared" ca="1" si="48"/>
        <v>730.19999999999982</v>
      </c>
      <c r="R110" s="306">
        <f t="shared" ca="1" si="49"/>
        <v>0.36645335872559343</v>
      </c>
      <c r="S110" s="307">
        <f t="shared" ca="1" si="50"/>
        <v>8.0979086286721991</v>
      </c>
      <c r="T110" s="304">
        <f t="shared" ca="1" si="30"/>
        <v>79.440483647274277</v>
      </c>
      <c r="U110" s="311">
        <f t="shared" ca="1" si="31"/>
        <v>0</v>
      </c>
      <c r="V110" s="306">
        <f t="shared" ca="1" si="32"/>
        <v>1.219237360127331</v>
      </c>
      <c r="W110" s="304">
        <f t="shared" ca="1" si="33"/>
        <v>25.325860570227864</v>
      </c>
      <c r="Y110" s="314" t="str">
        <f t="shared" ca="1" si="51"/>
        <v/>
      </c>
      <c r="Z110" s="315" t="str">
        <f t="shared" ca="1" si="52"/>
        <v/>
      </c>
      <c r="AA110" s="316" t="str">
        <f t="shared" ca="1" si="53"/>
        <v/>
      </c>
      <c r="AC110" s="310" t="e">
        <f t="shared" ca="1" si="54"/>
        <v>#N/A</v>
      </c>
      <c r="AD110" s="323" t="e">
        <f t="shared" ca="1" si="55"/>
        <v>#N/A</v>
      </c>
      <c r="AE110" s="324">
        <f t="shared" ca="1" si="34"/>
        <v>47.152866302386762</v>
      </c>
      <c r="AG110" s="306">
        <f t="shared" ca="1" si="56"/>
        <v>77.33694435570186</v>
      </c>
      <c r="AH110" s="304">
        <f t="shared" ca="1" si="57"/>
        <v>87.09803801937376</v>
      </c>
    </row>
    <row r="111" spans="1:34" x14ac:dyDescent="0.2">
      <c r="A111" s="347">
        <f t="shared" ca="1" si="35"/>
        <v>0.01</v>
      </c>
      <c r="B111" s="304">
        <f t="shared" ca="1" si="36"/>
        <v>1.0700000000000007</v>
      </c>
      <c r="D111" s="306">
        <f t="shared" ca="1" si="37"/>
        <v>8.6745510395108045</v>
      </c>
      <c r="E111" s="307">
        <f t="shared" ca="1" si="38"/>
        <v>76.641510493845118</v>
      </c>
      <c r="F111" s="304">
        <f t="shared" ca="1" si="39"/>
        <v>77.13085612460975</v>
      </c>
      <c r="G111" s="306">
        <f t="shared" ca="1" si="40"/>
        <v>8.9364671322551317</v>
      </c>
      <c r="H111" s="307">
        <f t="shared" ca="1" si="41"/>
        <v>88.963694500159534</v>
      </c>
      <c r="I111" s="304">
        <f t="shared" ca="1" si="42"/>
        <v>89.411405222843868</v>
      </c>
      <c r="J111" s="306">
        <f t="shared" ca="1" si="43"/>
        <v>4.584622423962041</v>
      </c>
      <c r="K111" s="307">
        <f t="shared" ca="1" si="44"/>
        <v>48.038671171863662</v>
      </c>
      <c r="L111" s="304">
        <f t="shared" ca="1" si="29"/>
        <v>48.256944481895459</v>
      </c>
      <c r="M111" s="306">
        <f t="shared" ca="1" si="45"/>
        <v>1.4706814372012764</v>
      </c>
      <c r="N111" s="304">
        <f t="shared" ca="1" si="46"/>
        <v>84.263839359867362</v>
      </c>
      <c r="P111" s="310">
        <f t="shared" ca="1" si="47"/>
        <v>4</v>
      </c>
      <c r="Q111" s="304">
        <f t="shared" ca="1" si="48"/>
        <v>728.59999999999991</v>
      </c>
      <c r="R111" s="306">
        <f t="shared" ca="1" si="49"/>
        <v>0.3656503932723465</v>
      </c>
      <c r="S111" s="307">
        <f t="shared" ca="1" si="50"/>
        <v>8.0942521247394748</v>
      </c>
      <c r="T111" s="304">
        <f t="shared" ca="1" si="30"/>
        <v>79.404613343694251</v>
      </c>
      <c r="U111" s="311">
        <f t="shared" ca="1" si="31"/>
        <v>0</v>
      </c>
      <c r="V111" s="306">
        <f t="shared" ca="1" si="32"/>
        <v>1.2191293636598826</v>
      </c>
      <c r="W111" s="304">
        <f t="shared" ca="1" si="33"/>
        <v>25.766209651885234</v>
      </c>
      <c r="Y111" s="314" t="str">
        <f t="shared" ca="1" si="51"/>
        <v/>
      </c>
      <c r="Z111" s="315" t="str">
        <f t="shared" ca="1" si="52"/>
        <v/>
      </c>
      <c r="AA111" s="316" t="str">
        <f t="shared" ca="1" si="53"/>
        <v/>
      </c>
      <c r="AC111" s="310" t="e">
        <f t="shared" ca="1" si="54"/>
        <v>#N/A</v>
      </c>
      <c r="AD111" s="323" t="e">
        <f t="shared" ca="1" si="55"/>
        <v>#N/A</v>
      </c>
      <c r="AE111" s="324">
        <f t="shared" ca="1" si="34"/>
        <v>48.038671171863662</v>
      </c>
      <c r="AG111" s="306">
        <f t="shared" ca="1" si="56"/>
        <v>77.124637482716622</v>
      </c>
      <c r="AH111" s="304">
        <f t="shared" ca="1" si="57"/>
        <v>86.885623105347477</v>
      </c>
    </row>
    <row r="112" spans="1:34" x14ac:dyDescent="0.2">
      <c r="A112" s="347">
        <f t="shared" ca="1" si="35"/>
        <v>0.01</v>
      </c>
      <c r="B112" s="304">
        <f t="shared" ca="1" si="36"/>
        <v>1.0800000000000007</v>
      </c>
      <c r="D112" s="306">
        <f t="shared" ca="1" si="37"/>
        <v>8.6627314478455233</v>
      </c>
      <c r="E112" s="307">
        <f t="shared" ca="1" si="38"/>
        <v>76.428620100936314</v>
      </c>
      <c r="F112" s="304">
        <f t="shared" ca="1" si="39"/>
        <v>76.917988056570607</v>
      </c>
      <c r="G112" s="306">
        <f t="shared" ca="1" si="40"/>
        <v>9.0230944467335874</v>
      </c>
      <c r="H112" s="307">
        <f t="shared" ca="1" si="41"/>
        <v>89.727980701168903</v>
      </c>
      <c r="I112" s="304">
        <f t="shared" ca="1" si="42"/>
        <v>90.180523141662988</v>
      </c>
      <c r="J112" s="306">
        <f t="shared" ca="1" si="43"/>
        <v>4.6744202318569847</v>
      </c>
      <c r="K112" s="307">
        <f t="shared" ca="1" si="44"/>
        <v>48.932129547870304</v>
      </c>
      <c r="L112" s="304">
        <f t="shared" ca="1" si="29"/>
        <v>49.154893007650379</v>
      </c>
      <c r="M112" s="306">
        <f t="shared" ca="1" si="45"/>
        <v>1.4705727122554801</v>
      </c>
      <c r="N112" s="304">
        <f t="shared" ca="1" si="46"/>
        <v>84.257609879345438</v>
      </c>
      <c r="P112" s="310">
        <f t="shared" ca="1" si="47"/>
        <v>4</v>
      </c>
      <c r="Q112" s="304">
        <f t="shared" ca="1" si="48"/>
        <v>726.99999999999989</v>
      </c>
      <c r="R112" s="306">
        <f t="shared" ca="1" si="49"/>
        <v>0.36484742781909951</v>
      </c>
      <c r="S112" s="307">
        <f t="shared" ca="1" si="50"/>
        <v>8.0906036504612846</v>
      </c>
      <c r="T112" s="304">
        <f t="shared" ca="1" si="30"/>
        <v>79.3688218110252</v>
      </c>
      <c r="U112" s="311">
        <f t="shared" ca="1" si="31"/>
        <v>0</v>
      </c>
      <c r="V112" s="306">
        <f t="shared" ca="1" si="32"/>
        <v>1.2190204437514358</v>
      </c>
      <c r="W112" s="304">
        <f t="shared" ca="1" si="33"/>
        <v>26.209056877304658</v>
      </c>
      <c r="Y112" s="314" t="str">
        <f t="shared" ca="1" si="51"/>
        <v/>
      </c>
      <c r="Z112" s="315" t="str">
        <f t="shared" ca="1" si="52"/>
        <v/>
      </c>
      <c r="AA112" s="316" t="str">
        <f t="shared" ca="1" si="53"/>
        <v/>
      </c>
      <c r="AC112" s="310" t="e">
        <f t="shared" ca="1" si="54"/>
        <v>#N/A</v>
      </c>
      <c r="AD112" s="323" t="e">
        <f t="shared" ca="1" si="55"/>
        <v>#N/A</v>
      </c>
      <c r="AE112" s="324">
        <f t="shared" ca="1" si="34"/>
        <v>48.932129547870304</v>
      </c>
      <c r="AG112" s="306">
        <f t="shared" ca="1" si="56"/>
        <v>76.911738580199753</v>
      </c>
      <c r="AH112" s="304">
        <f t="shared" ca="1" si="57"/>
        <v>86.672616858216003</v>
      </c>
    </row>
    <row r="113" spans="1:34" x14ac:dyDescent="0.2">
      <c r="A113" s="347">
        <f t="shared" ca="1" si="35"/>
        <v>0.01</v>
      </c>
      <c r="B113" s="304">
        <f t="shared" ca="1" si="36"/>
        <v>1.0900000000000007</v>
      </c>
      <c r="D113" s="306">
        <f t="shared" ca="1" si="37"/>
        <v>8.6507364234227371</v>
      </c>
      <c r="E113" s="307">
        <f t="shared" ca="1" si="38"/>
        <v>76.215156384433854</v>
      </c>
      <c r="F113" s="304">
        <f t="shared" ca="1" si="39"/>
        <v>76.704532482580461</v>
      </c>
      <c r="G113" s="306">
        <f t="shared" ca="1" si="40"/>
        <v>9.1096018109678152</v>
      </c>
      <c r="H113" s="307">
        <f t="shared" ca="1" si="41"/>
        <v>90.490132265013244</v>
      </c>
      <c r="I113" s="304">
        <f t="shared" ca="1" si="42"/>
        <v>90.94750619172568</v>
      </c>
      <c r="J113" s="306">
        <f t="shared" ca="1" si="43"/>
        <v>4.7650837131454917</v>
      </c>
      <c r="K113" s="307">
        <f t="shared" ca="1" si="44"/>
        <v>49.833220112701213</v>
      </c>
      <c r="L113" s="304">
        <f t="shared" ca="1" si="29"/>
        <v>50.060521866978306</v>
      </c>
      <c r="M113" s="306">
        <f t="shared" ca="1" si="45"/>
        <v>1.4704647875266688</v>
      </c>
      <c r="N113" s="304">
        <f t="shared" ca="1" si="46"/>
        <v>84.251426247879465</v>
      </c>
      <c r="P113" s="310">
        <f t="shared" ca="1" si="47"/>
        <v>4</v>
      </c>
      <c r="Q113" s="304">
        <f t="shared" ca="1" si="48"/>
        <v>725.39999999999986</v>
      </c>
      <c r="R113" s="306">
        <f t="shared" ca="1" si="49"/>
        <v>0.36404446236585247</v>
      </c>
      <c r="S113" s="307">
        <f t="shared" ca="1" si="50"/>
        <v>8.0869632058376268</v>
      </c>
      <c r="T113" s="304">
        <f t="shared" ca="1" si="30"/>
        <v>79.333109049267122</v>
      </c>
      <c r="U113" s="311">
        <f t="shared" ca="1" si="31"/>
        <v>0</v>
      </c>
      <c r="V113" s="306">
        <f t="shared" ca="1" si="32"/>
        <v>1.2189106032486274</v>
      </c>
      <c r="W113" s="304">
        <f t="shared" ca="1" si="33"/>
        <v>26.654365497158807</v>
      </c>
      <c r="Y113" s="314" t="str">
        <f t="shared" ca="1" si="51"/>
        <v/>
      </c>
      <c r="Z113" s="315" t="str">
        <f t="shared" ca="1" si="52"/>
        <v/>
      </c>
      <c r="AA113" s="316" t="str">
        <f t="shared" ca="1" si="53"/>
        <v/>
      </c>
      <c r="AC113" s="310" t="e">
        <f t="shared" ca="1" si="54"/>
        <v>#N/A</v>
      </c>
      <c r="AD113" s="323" t="e">
        <f t="shared" ca="1" si="55"/>
        <v>#N/A</v>
      </c>
      <c r="AE113" s="324">
        <f t="shared" ca="1" si="34"/>
        <v>49.833220112701213</v>
      </c>
      <c r="AG113" s="306">
        <f t="shared" ca="1" si="56"/>
        <v>76.6982520395905</v>
      </c>
      <c r="AH113" s="304">
        <f t="shared" ca="1" si="57"/>
        <v>86.459023656491937</v>
      </c>
    </row>
    <row r="114" spans="1:34" x14ac:dyDescent="0.2">
      <c r="A114" s="347">
        <f t="shared" ca="1" si="35"/>
        <v>0.01</v>
      </c>
      <c r="B114" s="304">
        <f t="shared" ca="1" si="36"/>
        <v>1.1000000000000008</v>
      </c>
      <c r="D114" s="306">
        <f t="shared" ca="1" si="37"/>
        <v>8.6385680644059111</v>
      </c>
      <c r="E114" s="307">
        <f t="shared" ca="1" si="38"/>
        <v>76.001123575922932</v>
      </c>
      <c r="F114" s="304">
        <f t="shared" ca="1" si="39"/>
        <v>76.490493808094101</v>
      </c>
      <c r="G114" s="306">
        <f t="shared" ca="1" si="40"/>
        <v>9.1959874916118736</v>
      </c>
      <c r="H114" s="307">
        <f t="shared" ca="1" si="41"/>
        <v>91.250143500772467</v>
      </c>
      <c r="I114" s="304">
        <f t="shared" ca="1" si="42"/>
        <v>91.712348540736045</v>
      </c>
      <c r="J114" s="306">
        <f t="shared" ca="1" si="43"/>
        <v>4.8566116596583901</v>
      </c>
      <c r="K114" s="307">
        <f t="shared" ca="1" si="44"/>
        <v>50.741921491530142</v>
      </c>
      <c r="L114" s="304">
        <f t="shared" ca="1" si="29"/>
        <v>50.973809681691819</v>
      </c>
      <c r="M114" s="306">
        <f t="shared" ca="1" si="45"/>
        <v>1.4703576479830083</v>
      </c>
      <c r="N114" s="304">
        <f t="shared" ca="1" si="46"/>
        <v>84.245287604208755</v>
      </c>
      <c r="P114" s="310">
        <f t="shared" ca="1" si="47"/>
        <v>4</v>
      </c>
      <c r="Q114" s="304">
        <f t="shared" ca="1" si="48"/>
        <v>723.79999999999984</v>
      </c>
      <c r="R114" s="306">
        <f t="shared" ca="1" si="49"/>
        <v>0.36324149691260549</v>
      </c>
      <c r="S114" s="307">
        <f t="shared" ca="1" si="50"/>
        <v>8.0833307908685015</v>
      </c>
      <c r="T114" s="304">
        <f t="shared" ca="1" si="30"/>
        <v>79.297475058420005</v>
      </c>
      <c r="U114" s="311">
        <f t="shared" ca="1" si="31"/>
        <v>0</v>
      </c>
      <c r="V114" s="306">
        <f t="shared" ca="1" si="32"/>
        <v>1.2187998450061841</v>
      </c>
      <c r="W114" s="304">
        <f t="shared" ca="1" si="33"/>
        <v>27.102098765255509</v>
      </c>
      <c r="Y114" s="314" t="str">
        <f t="shared" ca="1" si="51"/>
        <v/>
      </c>
      <c r="Z114" s="315" t="str">
        <f t="shared" ca="1" si="52"/>
        <v/>
      </c>
      <c r="AA114" s="316" t="str">
        <f t="shared" ca="1" si="53"/>
        <v/>
      </c>
      <c r="AC114" s="310" t="e">
        <f t="shared" ca="1" si="54"/>
        <v>#N/A</v>
      </c>
      <c r="AD114" s="323" t="e">
        <f t="shared" ca="1" si="55"/>
        <v>#N/A</v>
      </c>
      <c r="AE114" s="324">
        <f t="shared" ca="1" si="34"/>
        <v>50.741921491530142</v>
      </c>
      <c r="AG114" s="306">
        <f t="shared" ca="1" si="56"/>
        <v>76.484182263278143</v>
      </c>
      <c r="AH114" s="304">
        <f t="shared" ca="1" si="57"/>
        <v>86.24484788997944</v>
      </c>
    </row>
    <row r="115" spans="1:34" x14ac:dyDescent="0.2">
      <c r="A115" s="347">
        <f t="shared" ca="1" si="35"/>
        <v>0.01</v>
      </c>
      <c r="B115" s="304">
        <f t="shared" ca="1" si="36"/>
        <v>1.1100000000000008</v>
      </c>
      <c r="D115" s="306">
        <f t="shared" ca="1" si="37"/>
        <v>8.6262284255221449</v>
      </c>
      <c r="E115" s="307">
        <f t="shared" ca="1" si="38"/>
        <v>75.786525921477448</v>
      </c>
      <c r="F115" s="304">
        <f t="shared" ca="1" si="39"/>
        <v>76.275876449215971</v>
      </c>
      <c r="G115" s="306">
        <f t="shared" ca="1" si="40"/>
        <v>9.2822497758670952</v>
      </c>
      <c r="H115" s="307">
        <f t="shared" ca="1" si="41"/>
        <v>92.008008759987234</v>
      </c>
      <c r="I115" s="304">
        <f t="shared" ca="1" si="42"/>
        <v>92.475044400527182</v>
      </c>
      <c r="J115" s="306">
        <f t="shared" ca="1" si="43"/>
        <v>4.9490028459957847</v>
      </c>
      <c r="K115" s="307">
        <f t="shared" ca="1" si="44"/>
        <v>51.658212252833941</v>
      </c>
      <c r="L115" s="304">
        <f t="shared" ca="1" si="29"/>
        <v>51.894735015495719</v>
      </c>
      <c r="M115" s="306">
        <f t="shared" ca="1" si="45"/>
        <v>1.4702512789976199</v>
      </c>
      <c r="N115" s="304">
        <f t="shared" ca="1" si="46"/>
        <v>84.239193110274911</v>
      </c>
      <c r="P115" s="310">
        <f t="shared" ca="1" si="47"/>
        <v>4</v>
      </c>
      <c r="Q115" s="304">
        <f t="shared" ca="1" si="48"/>
        <v>722.19999999999982</v>
      </c>
      <c r="R115" s="306">
        <f t="shared" ca="1" si="49"/>
        <v>0.3624385314593585</v>
      </c>
      <c r="S115" s="307">
        <f t="shared" ca="1" si="50"/>
        <v>8.0797064055539085</v>
      </c>
      <c r="T115" s="304">
        <f t="shared" ca="1" si="30"/>
        <v>79.261919838483848</v>
      </c>
      <c r="U115" s="311">
        <f t="shared" ca="1" si="31"/>
        <v>0</v>
      </c>
      <c r="V115" s="306">
        <f t="shared" ca="1" si="32"/>
        <v>1.2186881718868465</v>
      </c>
      <c r="W115" s="304">
        <f t="shared" ca="1" si="33"/>
        <v>27.552219940831023</v>
      </c>
      <c r="Y115" s="314" t="str">
        <f t="shared" ca="1" si="51"/>
        <v/>
      </c>
      <c r="Z115" s="315" t="str">
        <f t="shared" ca="1" si="52"/>
        <v/>
      </c>
      <c r="AA115" s="316" t="str">
        <f t="shared" ca="1" si="53"/>
        <v/>
      </c>
      <c r="AC115" s="310" t="e">
        <f t="shared" ca="1" si="54"/>
        <v>#N/A</v>
      </c>
      <c r="AD115" s="323" t="e">
        <f t="shared" ca="1" si="55"/>
        <v>#N/A</v>
      </c>
      <c r="AE115" s="324">
        <f t="shared" ca="1" si="34"/>
        <v>51.658212252833941</v>
      </c>
      <c r="AG115" s="306">
        <f t="shared" ca="1" si="56"/>
        <v>76.269533664311297</v>
      </c>
      <c r="AH115" s="304">
        <f t="shared" ca="1" si="57"/>
        <v>86.03009395947123</v>
      </c>
    </row>
    <row r="116" spans="1:34" x14ac:dyDescent="0.2">
      <c r="A116" s="347">
        <f t="shared" ca="1" si="35"/>
        <v>0.01</v>
      </c>
      <c r="B116" s="304">
        <f t="shared" ca="1" si="36"/>
        <v>1.1200000000000008</v>
      </c>
      <c r="D116" s="306">
        <f t="shared" ca="1" si="37"/>
        <v>8.6137195196749126</v>
      </c>
      <c r="E116" s="307">
        <f t="shared" ca="1" si="38"/>
        <v>75.571367681229873</v>
      </c>
      <c r="F116" s="304">
        <f t="shared" ca="1" si="39"/>
        <v>76.060684832410388</v>
      </c>
      <c r="G116" s="306">
        <f t="shared" ca="1" si="40"/>
        <v>9.3683869710638437</v>
      </c>
      <c r="H116" s="307">
        <f t="shared" ca="1" si="41"/>
        <v>92.763722436799526</v>
      </c>
      <c r="I116" s="304">
        <f t="shared" ca="1" si="42"/>
        <v>93.235588027164738</v>
      </c>
      <c r="J116" s="306">
        <f t="shared" ca="1" si="43"/>
        <v>5.0422560297304395</v>
      </c>
      <c r="K116" s="307">
        <f t="shared" ca="1" si="44"/>
        <v>52.582070908817876</v>
      </c>
      <c r="L116" s="304">
        <f t="shared" ca="1" si="29"/>
        <v>52.823276374428957</v>
      </c>
      <c r="M116" s="306">
        <f t="shared" ca="1" si="45"/>
        <v>1.4701456663339576</v>
      </c>
      <c r="N116" s="304">
        <f t="shared" ca="1" si="46"/>
        <v>84.233141950383924</v>
      </c>
      <c r="P116" s="310">
        <f t="shared" ca="1" si="47"/>
        <v>4</v>
      </c>
      <c r="Q116" s="304">
        <f t="shared" ca="1" si="48"/>
        <v>720.59999999999991</v>
      </c>
      <c r="R116" s="306">
        <f t="shared" ca="1" si="49"/>
        <v>0.36163556600611158</v>
      </c>
      <c r="S116" s="307">
        <f t="shared" ca="1" si="50"/>
        <v>8.0760900498938479</v>
      </c>
      <c r="T116" s="304">
        <f t="shared" ca="1" si="30"/>
        <v>79.226443389458652</v>
      </c>
      <c r="U116" s="311">
        <f t="shared" ca="1" si="31"/>
        <v>0</v>
      </c>
      <c r="V116" s="306">
        <f t="shared" ca="1" si="32"/>
        <v>1.2185755867612931</v>
      </c>
      <c r="W116" s="304">
        <f t="shared" ca="1" si="33"/>
        <v>28.004692290835049</v>
      </c>
      <c r="Y116" s="314" t="str">
        <f t="shared" ca="1" si="51"/>
        <v/>
      </c>
      <c r="Z116" s="315" t="str">
        <f t="shared" ca="1" si="52"/>
        <v/>
      </c>
      <c r="AA116" s="316" t="str">
        <f t="shared" ca="1" si="53"/>
        <v/>
      </c>
      <c r="AC116" s="310" t="e">
        <f t="shared" ca="1" si="54"/>
        <v>#N/A</v>
      </c>
      <c r="AD116" s="323" t="e">
        <f t="shared" ca="1" si="55"/>
        <v>#N/A</v>
      </c>
      <c r="AE116" s="324">
        <f t="shared" ca="1" si="34"/>
        <v>52.582070908817876</v>
      </c>
      <c r="AG116" s="306">
        <f t="shared" ca="1" si="56"/>
        <v>76.054310666106645</v>
      </c>
      <c r="AH116" s="304">
        <f t="shared" ca="1" si="57"/>
        <v>85.814766276445653</v>
      </c>
    </row>
    <row r="117" spans="1:34" x14ac:dyDescent="0.2">
      <c r="A117" s="347">
        <f t="shared" ca="1" si="35"/>
        <v>0.01</v>
      </c>
      <c r="B117" s="304">
        <f t="shared" ca="1" si="36"/>
        <v>1.1300000000000008</v>
      </c>
      <c r="D117" s="306">
        <f t="shared" ca="1" si="37"/>
        <v>8.6010433194825442</v>
      </c>
      <c r="E117" s="307">
        <f t="shared" ca="1" si="38"/>
        <v>75.35565312894677</v>
      </c>
      <c r="F117" s="304">
        <f t="shared" ca="1" si="39"/>
        <v>75.844923394211165</v>
      </c>
      <c r="G117" s="306">
        <f t="shared" ca="1" si="40"/>
        <v>9.4543974042586694</v>
      </c>
      <c r="H117" s="307">
        <f t="shared" ca="1" si="41"/>
        <v>93.517278968088988</v>
      </c>
      <c r="I117" s="304">
        <f t="shared" ca="1" si="42"/>
        <v>93.993973721047837</v>
      </c>
      <c r="J117" s="306">
        <f t="shared" ca="1" si="43"/>
        <v>5.136369951607052</v>
      </c>
      <c r="K117" s="307">
        <f t="shared" ca="1" si="44"/>
        <v>53.513475915842321</v>
      </c>
      <c r="L117" s="304">
        <f t="shared" ca="1" si="29"/>
        <v>53.759412207307548</v>
      </c>
      <c r="M117" s="306">
        <f t="shared" ca="1" si="45"/>
        <v>1.4700407961318434</v>
      </c>
      <c r="N117" s="304">
        <f t="shared" ca="1" si="46"/>
        <v>84.227133330406105</v>
      </c>
      <c r="P117" s="310">
        <f t="shared" ca="1" si="47"/>
        <v>4</v>
      </c>
      <c r="Q117" s="304">
        <f t="shared" ca="1" si="48"/>
        <v>718.99999999999989</v>
      </c>
      <c r="R117" s="306">
        <f t="shared" ca="1" si="49"/>
        <v>0.36083260055286454</v>
      </c>
      <c r="S117" s="307">
        <f t="shared" ca="1" si="50"/>
        <v>8.0724817238883197</v>
      </c>
      <c r="T117" s="304">
        <f t="shared" ca="1" si="30"/>
        <v>79.191045711344415</v>
      </c>
      <c r="U117" s="311">
        <f t="shared" ca="1" si="31"/>
        <v>0</v>
      </c>
      <c r="V117" s="306">
        <f t="shared" ca="1" si="32"/>
        <v>1.2184620925080647</v>
      </c>
      <c r="W117" s="304">
        <f t="shared" ca="1" si="33"/>
        <v>28.459479092207388</v>
      </c>
      <c r="Y117" s="314" t="str">
        <f t="shared" ca="1" si="51"/>
        <v/>
      </c>
      <c r="Z117" s="315" t="str">
        <f t="shared" ca="1" si="52"/>
        <v/>
      </c>
      <c r="AA117" s="316" t="str">
        <f t="shared" ca="1" si="53"/>
        <v/>
      </c>
      <c r="AC117" s="310" t="e">
        <f t="shared" ca="1" si="54"/>
        <v>#N/A</v>
      </c>
      <c r="AD117" s="323" t="e">
        <f t="shared" ca="1" si="55"/>
        <v>#N/A</v>
      </c>
      <c r="AE117" s="324">
        <f t="shared" ca="1" si="34"/>
        <v>53.513475915842321</v>
      </c>
      <c r="AG117" s="306">
        <f t="shared" ca="1" si="56"/>
        <v>75.838517702157105</v>
      </c>
      <c r="AH117" s="304">
        <f t="shared" ca="1" si="57"/>
        <v>85.598869262763614</v>
      </c>
    </row>
    <row r="118" spans="1:34" x14ac:dyDescent="0.2">
      <c r="A118" s="347">
        <f t="shared" ca="1" si="35"/>
        <v>0.01</v>
      </c>
      <c r="B118" s="304">
        <f t="shared" ca="1" si="36"/>
        <v>1.1400000000000008</v>
      </c>
      <c r="D118" s="306">
        <f t="shared" ca="1" si="37"/>
        <v>8.5882017587462673</v>
      </c>
      <c r="E118" s="307">
        <f t="shared" ca="1" si="38"/>
        <v>75.139386551609988</v>
      </c>
      <c r="F118" s="304">
        <f t="shared" ca="1" si="39"/>
        <v>75.628596580930946</v>
      </c>
      <c r="G118" s="306">
        <f t="shared" ca="1" si="40"/>
        <v>9.5402794218461313</v>
      </c>
      <c r="H118" s="307">
        <f t="shared" ca="1" si="41"/>
        <v>94.268672833605081</v>
      </c>
      <c r="I118" s="304">
        <f t="shared" ca="1" si="42"/>
        <v>94.750195827006991</v>
      </c>
      <c r="J118" s="306">
        <f t="shared" ca="1" si="43"/>
        <v>5.2313433357375763</v>
      </c>
      <c r="K118" s="307">
        <f t="shared" ca="1" si="44"/>
        <v>54.452405674850795</v>
      </c>
      <c r="L118" s="304">
        <f t="shared" ca="1" si="29"/>
        <v>54.7031209061685</v>
      </c>
      <c r="M118" s="306">
        <f t="shared" ca="1" si="45"/>
        <v>1.4699366548941235</v>
      </c>
      <c r="N118" s="304">
        <f t="shared" ca="1" si="46"/>
        <v>84.221166477011479</v>
      </c>
      <c r="P118" s="310">
        <f t="shared" ca="1" si="47"/>
        <v>4</v>
      </c>
      <c r="Q118" s="304">
        <f t="shared" ca="1" si="48"/>
        <v>717.39999999999986</v>
      </c>
      <c r="R118" s="306">
        <f t="shared" ca="1" si="49"/>
        <v>0.36002963509961755</v>
      </c>
      <c r="S118" s="307">
        <f t="shared" ca="1" si="50"/>
        <v>8.068881427537324</v>
      </c>
      <c r="T118" s="304">
        <f t="shared" ca="1" si="30"/>
        <v>79.155726804141153</v>
      </c>
      <c r="U118" s="311">
        <f t="shared" ca="1" si="31"/>
        <v>0</v>
      </c>
      <c r="V118" s="306">
        <f t="shared" ca="1" si="32"/>
        <v>1.2183476920134884</v>
      </c>
      <c r="W118" s="304">
        <f t="shared" ca="1" si="33"/>
        <v>28.916543634146059</v>
      </c>
      <c r="Y118" s="314" t="str">
        <f t="shared" ca="1" si="51"/>
        <v/>
      </c>
      <c r="Z118" s="315" t="str">
        <f t="shared" ca="1" si="52"/>
        <v/>
      </c>
      <c r="AA118" s="316" t="str">
        <f t="shared" ca="1" si="53"/>
        <v/>
      </c>
      <c r="AC118" s="310" t="e">
        <f t="shared" ca="1" si="54"/>
        <v>#N/A</v>
      </c>
      <c r="AD118" s="323" t="e">
        <f t="shared" ca="1" si="55"/>
        <v>#N/A</v>
      </c>
      <c r="AE118" s="324">
        <f t="shared" ca="1" si="34"/>
        <v>54.452405674850795</v>
      </c>
      <c r="AG118" s="306">
        <f t="shared" ca="1" si="56"/>
        <v>75.622159215739629</v>
      </c>
      <c r="AH118" s="304">
        <f t="shared" ca="1" si="57"/>
        <v>85.382407350365739</v>
      </c>
    </row>
    <row r="119" spans="1:34" x14ac:dyDescent="0.2">
      <c r="A119" s="347">
        <f t="shared" ca="1" si="35"/>
        <v>0.01</v>
      </c>
      <c r="B119" s="304">
        <f t="shared" ca="1" si="36"/>
        <v>1.1500000000000008</v>
      </c>
      <c r="D119" s="306">
        <f t="shared" ca="1" si="37"/>
        <v>8.5751967338515911</v>
      </c>
      <c r="E119" s="307">
        <f t="shared" ca="1" si="38"/>
        <v>74.922572249003025</v>
      </c>
      <c r="F119" s="304">
        <f t="shared" ca="1" si="39"/>
        <v>75.411708848370068</v>
      </c>
      <c r="G119" s="306">
        <f t="shared" ca="1" si="40"/>
        <v>9.6260313891846465</v>
      </c>
      <c r="H119" s="307">
        <f t="shared" ca="1" si="41"/>
        <v>95.017898556095105</v>
      </c>
      <c r="I119" s="304">
        <f t="shared" ca="1" si="42"/>
        <v>95.504248734398985</v>
      </c>
      <c r="J119" s="306">
        <f t="shared" ca="1" si="43"/>
        <v>5.3271748897927305</v>
      </c>
      <c r="K119" s="307">
        <f t="shared" ca="1" si="44"/>
        <v>55.398838531799292</v>
      </c>
      <c r="L119" s="304">
        <f t="shared" ca="1" si="29"/>
        <v>55.654380806714656</v>
      </c>
      <c r="M119" s="306">
        <f t="shared" ca="1" si="45"/>
        <v>1.4698332294739149</v>
      </c>
      <c r="N119" s="304">
        <f t="shared" ca="1" si="46"/>
        <v>84.215240636939157</v>
      </c>
      <c r="P119" s="310">
        <f t="shared" ca="1" si="47"/>
        <v>4</v>
      </c>
      <c r="Q119" s="304">
        <f t="shared" ca="1" si="48"/>
        <v>715.79999999999984</v>
      </c>
      <c r="R119" s="306">
        <f t="shared" ca="1" si="49"/>
        <v>0.35922666964637057</v>
      </c>
      <c r="S119" s="307">
        <f t="shared" ca="1" si="50"/>
        <v>8.0652891608408606</v>
      </c>
      <c r="T119" s="304">
        <f t="shared" ca="1" si="30"/>
        <v>79.120486667848851</v>
      </c>
      <c r="U119" s="311">
        <f t="shared" ca="1" si="31"/>
        <v>0</v>
      </c>
      <c r="V119" s="306">
        <f t="shared" ca="1" si="32"/>
        <v>1.2182323881716008</v>
      </c>
      <c r="W119" s="304">
        <f t="shared" ca="1" si="33"/>
        <v>29.375849220366373</v>
      </c>
      <c r="Y119" s="314" t="str">
        <f t="shared" ca="1" si="51"/>
        <v/>
      </c>
      <c r="Z119" s="315" t="str">
        <f t="shared" ca="1" si="52"/>
        <v/>
      </c>
      <c r="AA119" s="316" t="str">
        <f t="shared" ca="1" si="53"/>
        <v/>
      </c>
      <c r="AC119" s="310" t="e">
        <f t="shared" ca="1" si="54"/>
        <v>#N/A</v>
      </c>
      <c r="AD119" s="323" t="e">
        <f t="shared" ca="1" si="55"/>
        <v>#N/A</v>
      </c>
      <c r="AE119" s="324">
        <f t="shared" ca="1" si="34"/>
        <v>55.398838531799292</v>
      </c>
      <c r="AG119" s="306">
        <f t="shared" ca="1" si="56"/>
        <v>75.405239659622779</v>
      </c>
      <c r="AH119" s="304">
        <f t="shared" ca="1" si="57"/>
        <v>85.165384980969691</v>
      </c>
    </row>
    <row r="120" spans="1:34" x14ac:dyDescent="0.2">
      <c r="A120" s="347">
        <f t="shared" ca="1" si="35"/>
        <v>0.01</v>
      </c>
      <c r="B120" s="304">
        <f t="shared" ca="1" si="36"/>
        <v>1.1600000000000008</v>
      </c>
      <c r="D120" s="306">
        <f t="shared" ca="1" si="37"/>
        <v>8.5620301051064907</v>
      </c>
      <c r="E120" s="307">
        <f t="shared" ca="1" si="38"/>
        <v>74.705214533302183</v>
      </c>
      <c r="F120" s="304">
        <f t="shared" ca="1" si="39"/>
        <v>75.194264661524912</v>
      </c>
      <c r="G120" s="306">
        <f t="shared" ca="1" si="40"/>
        <v>9.711651690235712</v>
      </c>
      <c r="H120" s="307">
        <f t="shared" ca="1" si="41"/>
        <v>95.76495070142812</v>
      </c>
      <c r="I120" s="304">
        <f t="shared" ca="1" si="42"/>
        <v>96.256126877198923</v>
      </c>
      <c r="J120" s="306">
        <f t="shared" ca="1" si="43"/>
        <v>5.4238633051898324</v>
      </c>
      <c r="K120" s="307">
        <f t="shared" ca="1" si="44"/>
        <v>56.352752778086909</v>
      </c>
      <c r="L120" s="304">
        <f t="shared" ca="1" si="29"/>
        <v>56.613170188760556</v>
      </c>
      <c r="M120" s="306">
        <f t="shared" ca="1" si="45"/>
        <v>1.4697305070624063</v>
      </c>
      <c r="N120" s="304">
        <f t="shared" ca="1" si="46"/>
        <v>84.209355076298309</v>
      </c>
      <c r="P120" s="310">
        <f t="shared" ca="1" si="47"/>
        <v>4</v>
      </c>
      <c r="Q120" s="304">
        <f t="shared" ca="1" si="48"/>
        <v>714.19999999999982</v>
      </c>
      <c r="R120" s="306">
        <f t="shared" ca="1" si="49"/>
        <v>0.35842370419312358</v>
      </c>
      <c r="S120" s="307">
        <f t="shared" ca="1" si="50"/>
        <v>8.0617049237989296</v>
      </c>
      <c r="T120" s="304">
        <f t="shared" ca="1" si="30"/>
        <v>79.08532530246751</v>
      </c>
      <c r="U120" s="311">
        <f t="shared" ca="1" si="31"/>
        <v>0</v>
      </c>
      <c r="V120" s="306">
        <f t="shared" ca="1" si="32"/>
        <v>1.2181161838840722</v>
      </c>
      <c r="W120" s="304">
        <f t="shared" ca="1" si="33"/>
        <v>29.837359171351036</v>
      </c>
      <c r="Y120" s="314" t="str">
        <f t="shared" ca="1" si="51"/>
        <v/>
      </c>
      <c r="Z120" s="315" t="str">
        <f t="shared" ca="1" si="52"/>
        <v/>
      </c>
      <c r="AA120" s="316" t="str">
        <f t="shared" ca="1" si="53"/>
        <v/>
      </c>
      <c r="AC120" s="310" t="e">
        <f t="shared" ca="1" si="54"/>
        <v>#N/A</v>
      </c>
      <c r="AD120" s="323" t="e">
        <f t="shared" ca="1" si="55"/>
        <v>#N/A</v>
      </c>
      <c r="AE120" s="324">
        <f t="shared" ca="1" si="34"/>
        <v>56.352752778086909</v>
      </c>
      <c r="AG120" s="306">
        <f t="shared" ca="1" si="56"/>
        <v>75.187763495773623</v>
      </c>
      <c r="AH120" s="304">
        <f t="shared" ca="1" si="57"/>
        <v>84.947806605767298</v>
      </c>
    </row>
    <row r="121" spans="1:34" x14ac:dyDescent="0.2">
      <c r="A121" s="347">
        <f t="shared" ca="1" si="35"/>
        <v>0.01</v>
      </c>
      <c r="B121" s="304">
        <f t="shared" ca="1" si="36"/>
        <v>1.1700000000000008</v>
      </c>
      <c r="D121" s="306">
        <f t="shared" ca="1" si="37"/>
        <v>8.5487036980200024</v>
      </c>
      <c r="E121" s="307">
        <f t="shared" ca="1" si="38"/>
        <v>74.487317728672835</v>
      </c>
      <c r="F121" s="304">
        <f t="shared" ca="1" si="39"/>
        <v>74.976268494296235</v>
      </c>
      <c r="G121" s="306">
        <f t="shared" ca="1" si="40"/>
        <v>9.7971387272159127</v>
      </c>
      <c r="H121" s="307">
        <f t="shared" ca="1" si="41"/>
        <v>96.509823878714855</v>
      </c>
      <c r="I121" s="304">
        <f t="shared" ca="1" si="42"/>
        <v>97.005824734089416</v>
      </c>
      <c r="J121" s="306">
        <f t="shared" ca="1" si="43"/>
        <v>5.5214072572770903</v>
      </c>
      <c r="K121" s="307">
        <f t="shared" ca="1" si="44"/>
        <v>57.314126650987625</v>
      </c>
      <c r="L121" s="304">
        <f t="shared" ca="1" si="29"/>
        <v>57.579467276679125</v>
      </c>
      <c r="M121" s="306">
        <f t="shared" ca="1" si="45"/>
        <v>1.4696284751771902</v>
      </c>
      <c r="N121" s="304">
        <f t="shared" ca="1" si="46"/>
        <v>84.203509079899661</v>
      </c>
      <c r="P121" s="310">
        <f t="shared" ca="1" si="47"/>
        <v>4</v>
      </c>
      <c r="Q121" s="304">
        <f t="shared" ca="1" si="48"/>
        <v>712.59999999999991</v>
      </c>
      <c r="R121" s="306">
        <f t="shared" ca="1" si="49"/>
        <v>0.3576207387398766</v>
      </c>
      <c r="S121" s="307">
        <f t="shared" ca="1" si="50"/>
        <v>8.0581287164115309</v>
      </c>
      <c r="T121" s="304">
        <f t="shared" ca="1" si="30"/>
        <v>79.050242707997128</v>
      </c>
      <c r="U121" s="311">
        <f t="shared" ca="1" si="31"/>
        <v>0</v>
      </c>
      <c r="V121" s="306">
        <f t="shared" ca="1" si="32"/>
        <v>1.2179990820601279</v>
      </c>
      <c r="W121" s="304">
        <f t="shared" ca="1" si="33"/>
        <v>30.301036826590966</v>
      </c>
      <c r="Y121" s="314" t="str">
        <f t="shared" ca="1" si="51"/>
        <v/>
      </c>
      <c r="Z121" s="315" t="str">
        <f t="shared" ca="1" si="52"/>
        <v/>
      </c>
      <c r="AA121" s="316" t="str">
        <f t="shared" ca="1" si="53"/>
        <v/>
      </c>
      <c r="AC121" s="310" t="e">
        <f t="shared" ca="1" si="54"/>
        <v>#N/A</v>
      </c>
      <c r="AD121" s="323" t="e">
        <f t="shared" ca="1" si="55"/>
        <v>#N/A</v>
      </c>
      <c r="AE121" s="324">
        <f t="shared" ca="1" si="34"/>
        <v>57.314126650987625</v>
      </c>
      <c r="AG121" s="306">
        <f t="shared" ca="1" si="56"/>
        <v>74.969735195064857</v>
      </c>
      <c r="AH121" s="304">
        <f t="shared" ca="1" si="57"/>
        <v>84.729676685122328</v>
      </c>
    </row>
    <row r="122" spans="1:34" x14ac:dyDescent="0.2">
      <c r="A122" s="347">
        <f t="shared" ca="1" si="35"/>
        <v>0.01</v>
      </c>
      <c r="B122" s="304">
        <f t="shared" ca="1" si="36"/>
        <v>1.1800000000000008</v>
      </c>
      <c r="D122" s="306">
        <f t="shared" ca="1" si="37"/>
        <v>8.5352193045239044</v>
      </c>
      <c r="E122" s="307">
        <f t="shared" ca="1" si="38"/>
        <v>74.26888617087009</v>
      </c>
      <c r="F122" s="304">
        <f t="shared" ca="1" si="39"/>
        <v>74.757724829197258</v>
      </c>
      <c r="G122" s="306">
        <f t="shared" ca="1" si="40"/>
        <v>9.8824909202611515</v>
      </c>
      <c r="H122" s="307">
        <f t="shared" ca="1" si="41"/>
        <v>97.252512740423555</v>
      </c>
      <c r="I122" s="304">
        <f t="shared" ca="1" si="42"/>
        <v>97.753336828546622</v>
      </c>
      <c r="J122" s="306">
        <f t="shared" ca="1" si="43"/>
        <v>5.6198054055144757</v>
      </c>
      <c r="K122" s="307">
        <f t="shared" ca="1" si="44"/>
        <v>58.282938334083319</v>
      </c>
      <c r="L122" s="304">
        <f t="shared" ca="1" si="29"/>
        <v>58.55325023984927</v>
      </c>
      <c r="M122" s="306">
        <f t="shared" ca="1" si="45"/>
        <v>1.4695271216510952</v>
      </c>
      <c r="N122" s="304">
        <f t="shared" ca="1" si="46"/>
        <v>84.197701950615652</v>
      </c>
      <c r="P122" s="310">
        <f t="shared" ca="1" si="47"/>
        <v>4</v>
      </c>
      <c r="Q122" s="304">
        <f t="shared" ca="1" si="48"/>
        <v>710.99999999999989</v>
      </c>
      <c r="R122" s="306">
        <f t="shared" ca="1" si="49"/>
        <v>0.35681777328662961</v>
      </c>
      <c r="S122" s="307">
        <f t="shared" ca="1" si="50"/>
        <v>8.0545605386786647</v>
      </c>
      <c r="T122" s="304">
        <f t="shared" ca="1" si="30"/>
        <v>79.015238884437707</v>
      </c>
      <c r="U122" s="311">
        <f t="shared" ca="1" si="31"/>
        <v>0</v>
      </c>
      <c r="V122" s="306">
        <f t="shared" ca="1" si="32"/>
        <v>1.2178810856164759</v>
      </c>
      <c r="W122" s="304">
        <f t="shared" ca="1" si="33"/>
        <v>30.766845546816565</v>
      </c>
      <c r="Y122" s="314" t="str">
        <f t="shared" ca="1" si="51"/>
        <v/>
      </c>
      <c r="Z122" s="315" t="str">
        <f t="shared" ca="1" si="52"/>
        <v/>
      </c>
      <c r="AA122" s="316" t="str">
        <f t="shared" ca="1" si="53"/>
        <v/>
      </c>
      <c r="AC122" s="310" t="e">
        <f t="shared" ca="1" si="54"/>
        <v>#N/A</v>
      </c>
      <c r="AD122" s="323" t="e">
        <f t="shared" ca="1" si="55"/>
        <v>#N/A</v>
      </c>
      <c r="AE122" s="324">
        <f t="shared" ca="1" si="34"/>
        <v>58.282938334083319</v>
      </c>
      <c r="AG122" s="306">
        <f t="shared" ca="1" si="56"/>
        <v>74.75115923698138</v>
      </c>
      <c r="AH122" s="304">
        <f t="shared" ca="1" si="57"/>
        <v>84.510999688268072</v>
      </c>
    </row>
    <row r="123" spans="1:34" x14ac:dyDescent="0.2">
      <c r="A123" s="347">
        <f t="shared" ca="1" si="35"/>
        <v>0.01</v>
      </c>
      <c r="B123" s="304">
        <f t="shared" ca="1" si="36"/>
        <v>1.1900000000000008</v>
      </c>
      <c r="D123" s="306">
        <f t="shared" ca="1" si="37"/>
        <v>8.5215786841407688</v>
      </c>
      <c r="E123" s="307">
        <f t="shared" ca="1" si="38"/>
        <v>74.049924206843713</v>
      </c>
      <c r="F123" s="304">
        <f t="shared" ca="1" si="39"/>
        <v>74.5386381570612</v>
      </c>
      <c r="G123" s="306">
        <f t="shared" ca="1" si="40"/>
        <v>9.9677067071025593</v>
      </c>
      <c r="H123" s="307">
        <f t="shared" ca="1" si="41"/>
        <v>97.993011982491993</v>
      </c>
      <c r="I123" s="304">
        <f t="shared" ca="1" si="42"/>
        <v>98.498657728923575</v>
      </c>
      <c r="J123" s="306">
        <f t="shared" ca="1" si="43"/>
        <v>5.7190563936512939</v>
      </c>
      <c r="K123" s="307">
        <f t="shared" ca="1" si="44"/>
        <v>59.259165957697896</v>
      </c>
      <c r="L123" s="304">
        <f t="shared" ca="1" si="29"/>
        <v>59.534497193104308</v>
      </c>
      <c r="M123" s="306">
        <f t="shared" ca="1" si="45"/>
        <v>1.469426434621494</v>
      </c>
      <c r="N123" s="304">
        <f t="shared" ca="1" si="46"/>
        <v>84.191933008767805</v>
      </c>
      <c r="P123" s="310">
        <f t="shared" ca="1" si="47"/>
        <v>4</v>
      </c>
      <c r="Q123" s="304">
        <f t="shared" ca="1" si="48"/>
        <v>709.39999999999986</v>
      </c>
      <c r="R123" s="306">
        <f t="shared" ca="1" si="49"/>
        <v>0.35601480783338263</v>
      </c>
      <c r="S123" s="307">
        <f t="shared" ca="1" si="50"/>
        <v>8.0510003906003309</v>
      </c>
      <c r="T123" s="304">
        <f t="shared" ca="1" si="30"/>
        <v>78.980313831789246</v>
      </c>
      <c r="U123" s="311">
        <f t="shared" ca="1" si="31"/>
        <v>0</v>
      </c>
      <c r="V123" s="306">
        <f t="shared" ca="1" si="32"/>
        <v>1.2177621974772255</v>
      </c>
      <c r="W123" s="304">
        <f t="shared" ca="1" si="33"/>
        <v>31.23474871621919</v>
      </c>
      <c r="Y123" s="314" t="str">
        <f t="shared" ca="1" si="51"/>
        <v/>
      </c>
      <c r="Z123" s="315" t="str">
        <f t="shared" ca="1" si="52"/>
        <v/>
      </c>
      <c r="AA123" s="316" t="str">
        <f t="shared" ca="1" si="53"/>
        <v/>
      </c>
      <c r="AC123" s="310" t="e">
        <f t="shared" ca="1" si="54"/>
        <v>#N/A</v>
      </c>
      <c r="AD123" s="323" t="e">
        <f t="shared" ca="1" si="55"/>
        <v>#N/A</v>
      </c>
      <c r="AE123" s="324">
        <f t="shared" ca="1" si="34"/>
        <v>59.259165957697896</v>
      </c>
      <c r="AG123" s="306">
        <f t="shared" ca="1" si="56"/>
        <v>74.532040109326886</v>
      </c>
      <c r="AH123" s="304">
        <f t="shared" ca="1" si="57"/>
        <v>84.291780093005357</v>
      </c>
    </row>
    <row r="124" spans="1:34" x14ac:dyDescent="0.2">
      <c r="A124" s="347">
        <f t="shared" ca="1" si="35"/>
        <v>0.01</v>
      </c>
      <c r="B124" s="304">
        <f t="shared" ca="1" si="36"/>
        <v>1.2000000000000008</v>
      </c>
      <c r="D124" s="306">
        <f t="shared" ca="1" si="37"/>
        <v>8.5077835651009188</v>
      </c>
      <c r="E124" s="307">
        <f t="shared" ca="1" si="38"/>
        <v>73.830436194347655</v>
      </c>
      <c r="F124" s="304">
        <f t="shared" ca="1" si="39"/>
        <v>74.319012976749363</v>
      </c>
      <c r="G124" s="306">
        <f t="shared" ca="1" si="40"/>
        <v>10.052784542753569</v>
      </c>
      <c r="H124" s="307">
        <f t="shared" ca="1" si="41"/>
        <v>98.73131634443547</v>
      </c>
      <c r="I124" s="304">
        <f t="shared" ca="1" si="42"/>
        <v>99.241782048530425</v>
      </c>
      <c r="J124" s="306">
        <f t="shared" ca="1" si="43"/>
        <v>5.8191588499005746</v>
      </c>
      <c r="K124" s="307">
        <f t="shared" ca="1" si="44"/>
        <v>60.24278759933253</v>
      </c>
      <c r="L124" s="304">
        <f t="shared" ca="1" si="29"/>
        <v>60.523186197181232</v>
      </c>
      <c r="M124" s="306">
        <f t="shared" ca="1" si="45"/>
        <v>1.4693264025200614</v>
      </c>
      <c r="N124" s="304">
        <f t="shared" ca="1" si="46"/>
        <v>84.186201591539884</v>
      </c>
      <c r="P124" s="310">
        <f t="shared" ca="1" si="47"/>
        <v>4</v>
      </c>
      <c r="Q124" s="304">
        <f t="shared" ca="1" si="48"/>
        <v>707.79999999999984</v>
      </c>
      <c r="R124" s="306">
        <f t="shared" ca="1" si="49"/>
        <v>0.35521184238013565</v>
      </c>
      <c r="S124" s="307">
        <f t="shared" ca="1" si="50"/>
        <v>8.0474482721765295</v>
      </c>
      <c r="T124" s="304">
        <f t="shared" ca="1" si="30"/>
        <v>78.94546755005176</v>
      </c>
      <c r="U124" s="311">
        <f t="shared" ca="1" si="31"/>
        <v>0</v>
      </c>
      <c r="V124" s="306">
        <f t="shared" ca="1" si="32"/>
        <v>1.217642420573813</v>
      </c>
      <c r="W124" s="304">
        <f t="shared" ca="1" si="33"/>
        <v>31.704709744662789</v>
      </c>
      <c r="Y124" s="314" t="str">
        <f t="shared" ca="1" si="51"/>
        <v/>
      </c>
      <c r="Z124" s="315" t="str">
        <f t="shared" ca="1" si="52"/>
        <v/>
      </c>
      <c r="AA124" s="316" t="str">
        <f t="shared" ca="1" si="53"/>
        <v/>
      </c>
      <c r="AC124" s="310" t="e">
        <f t="shared" ca="1" si="54"/>
        <v>#N/A</v>
      </c>
      <c r="AD124" s="323" t="e">
        <f t="shared" ca="1" si="55"/>
        <v>#N/A</v>
      </c>
      <c r="AE124" s="324">
        <f t="shared" ca="1" si="34"/>
        <v>60.24278759933253</v>
      </c>
      <c r="AG124" s="306">
        <f t="shared" ca="1" si="56"/>
        <v>74.312382307930406</v>
      </c>
      <c r="AH124" s="304">
        <f t="shared" ca="1" si="57"/>
        <v>84.072022385400857</v>
      </c>
    </row>
    <row r="125" spans="1:34" x14ac:dyDescent="0.2">
      <c r="A125" s="347">
        <f t="shared" ca="1" si="35"/>
        <v>0.01</v>
      </c>
      <c r="B125" s="304">
        <f t="shared" ca="1" si="36"/>
        <v>1.2100000000000009</v>
      </c>
      <c r="D125" s="306">
        <f t="shared" ca="1" si="37"/>
        <v>8.4938356454110924</v>
      </c>
      <c r="E125" s="307">
        <f t="shared" ca="1" si="38"/>
        <v>73.610426501553277</v>
      </c>
      <c r="F125" s="304">
        <f t="shared" ca="1" si="39"/>
        <v>74.098853794858613</v>
      </c>
      <c r="G125" s="306">
        <f t="shared" ca="1" si="40"/>
        <v>10.137722899207681</v>
      </c>
      <c r="H125" s="307">
        <f t="shared" ca="1" si="41"/>
        <v>99.467420609450997</v>
      </c>
      <c r="I125" s="304">
        <f t="shared" ca="1" si="42"/>
        <v>99.982704445711789</v>
      </c>
      <c r="J125" s="306">
        <f t="shared" ca="1" si="43"/>
        <v>5.9201113871103805</v>
      </c>
      <c r="K125" s="307">
        <f t="shared" ca="1" si="44"/>
        <v>61.233781284101966</v>
      </c>
      <c r="L125" s="304">
        <f t="shared" ca="1" si="29"/>
        <v>61.519295259170761</v>
      </c>
      <c r="M125" s="306">
        <f t="shared" ca="1" si="45"/>
        <v>1.4692270140629626</v>
      </c>
      <c r="N125" s="304">
        <f t="shared" ca="1" si="46"/>
        <v>84.180507052415805</v>
      </c>
      <c r="P125" s="310">
        <f t="shared" ca="1" si="47"/>
        <v>4</v>
      </c>
      <c r="Q125" s="304">
        <f t="shared" ca="1" si="48"/>
        <v>706.19999999999982</v>
      </c>
      <c r="R125" s="306">
        <f t="shared" ca="1" si="49"/>
        <v>0.35440887692688861</v>
      </c>
      <c r="S125" s="307">
        <f t="shared" ca="1" si="50"/>
        <v>8.0439041834072604</v>
      </c>
      <c r="T125" s="304">
        <f t="shared" ca="1" si="30"/>
        <v>78.910700039225233</v>
      </c>
      <c r="U125" s="311">
        <f t="shared" ca="1" si="31"/>
        <v>0</v>
      </c>
      <c r="V125" s="306">
        <f t="shared" ca="1" si="32"/>
        <v>1.2175217578449231</v>
      </c>
      <c r="W125" s="304">
        <f t="shared" ca="1" si="33"/>
        <v>32.176692069885242</v>
      </c>
      <c r="Y125" s="314" t="str">
        <f t="shared" ca="1" si="51"/>
        <v/>
      </c>
      <c r="Z125" s="315" t="str">
        <f t="shared" ca="1" si="52"/>
        <v/>
      </c>
      <c r="AA125" s="316" t="str">
        <f t="shared" ca="1" si="53"/>
        <v/>
      </c>
      <c r="AC125" s="310" t="e">
        <f t="shared" ca="1" si="54"/>
        <v>#N/A</v>
      </c>
      <c r="AD125" s="323" t="e">
        <f t="shared" ca="1" si="55"/>
        <v>#N/A</v>
      </c>
      <c r="AE125" s="324">
        <f t="shared" ca="1" si="34"/>
        <v>61.233781284101966</v>
      </c>
      <c r="AG125" s="306">
        <f t="shared" ca="1" si="56"/>
        <v>74.092190336352743</v>
      </c>
      <c r="AH125" s="304">
        <f t="shared" ca="1" si="57"/>
        <v>83.851731059485644</v>
      </c>
    </row>
    <row r="126" spans="1:34" x14ac:dyDescent="0.2">
      <c r="A126" s="347">
        <f t="shared" ca="1" si="35"/>
        <v>0.01</v>
      </c>
      <c r="B126" s="304">
        <f t="shared" ca="1" si="36"/>
        <v>1.2200000000000009</v>
      </c>
      <c r="D126" s="306">
        <f t="shared" ca="1" si="37"/>
        <v>8.479736593876952</v>
      </c>
      <c r="E126" s="307">
        <f t="shared" ca="1" si="38"/>
        <v>73.389899506666609</v>
      </c>
      <c r="F126" s="304">
        <f t="shared" ca="1" si="39"/>
        <v>73.878165125429035</v>
      </c>
      <c r="G126" s="306">
        <f t="shared" ca="1" si="40"/>
        <v>10.22252026514645</v>
      </c>
      <c r="H126" s="307">
        <f t="shared" ca="1" si="41"/>
        <v>100.20131960451766</v>
      </c>
      <c r="I126" s="304">
        <f t="shared" ca="1" si="42"/>
        <v>100.72141962392124</v>
      </c>
      <c r="J126" s="306">
        <f t="shared" ca="1" si="43"/>
        <v>6.0219126029321508</v>
      </c>
      <c r="K126" s="307">
        <f t="shared" ca="1" si="44"/>
        <v>62.232124985171808</v>
      </c>
      <c r="L126" s="304">
        <f t="shared" ca="1" si="29"/>
        <v>62.522802332968077</v>
      </c>
      <c r="M126" s="306">
        <f t="shared" ca="1" si="45"/>
        <v>1.4691282582414482</v>
      </c>
      <c r="N126" s="304">
        <f t="shared" ca="1" si="46"/>
        <v>84.174848760640685</v>
      </c>
      <c r="P126" s="310">
        <f t="shared" ca="1" si="47"/>
        <v>4</v>
      </c>
      <c r="Q126" s="304">
        <f t="shared" ca="1" si="48"/>
        <v>704.5999999999998</v>
      </c>
      <c r="R126" s="306">
        <f t="shared" ca="1" si="49"/>
        <v>0.35360591147364162</v>
      </c>
      <c r="S126" s="307">
        <f t="shared" ca="1" si="50"/>
        <v>8.0403681242925238</v>
      </c>
      <c r="T126" s="304">
        <f t="shared" ca="1" si="30"/>
        <v>78.876011299309667</v>
      </c>
      <c r="U126" s="311">
        <f t="shared" ca="1" si="31"/>
        <v>0</v>
      </c>
      <c r="V126" s="306">
        <f t="shared" ca="1" si="32"/>
        <v>1.2174002122364149</v>
      </c>
      <c r="W126" s="304">
        <f t="shared" ca="1" si="33"/>
        <v>32.650659159689518</v>
      </c>
      <c r="Y126" s="314" t="str">
        <f t="shared" ca="1" si="51"/>
        <v/>
      </c>
      <c r="Z126" s="315" t="str">
        <f t="shared" ca="1" si="52"/>
        <v/>
      </c>
      <c r="AA126" s="316" t="str">
        <f t="shared" ca="1" si="53"/>
        <v/>
      </c>
      <c r="AC126" s="310" t="e">
        <f t="shared" ca="1" si="54"/>
        <v>#N/A</v>
      </c>
      <c r="AD126" s="323" t="e">
        <f t="shared" ca="1" si="55"/>
        <v>#N/A</v>
      </c>
      <c r="AE126" s="324">
        <f t="shared" ca="1" si="34"/>
        <v>62.232124985171808</v>
      </c>
      <c r="AG126" s="306">
        <f t="shared" ca="1" si="56"/>
        <v>73.871468705592903</v>
      </c>
      <c r="AH126" s="304">
        <f t="shared" ca="1" si="57"/>
        <v>83.630910616954054</v>
      </c>
    </row>
    <row r="127" spans="1:34" x14ac:dyDescent="0.2">
      <c r="A127" s="347">
        <f t="shared" ca="1" si="35"/>
        <v>0.01</v>
      </c>
      <c r="B127" s="304">
        <f t="shared" ca="1" si="36"/>
        <v>1.2300000000000009</v>
      </c>
      <c r="D127" s="306">
        <f t="shared" ca="1" si="37"/>
        <v>8.4654880510819712</v>
      </c>
      <c r="E127" s="307">
        <f t="shared" ca="1" si="38"/>
        <v>73.1688595975494</v>
      </c>
      <c r="F127" s="304">
        <f t="shared" ca="1" si="39"/>
        <v>73.656951489651732</v>
      </c>
      <c r="G127" s="306">
        <f t="shared" ca="1" si="40"/>
        <v>10.30717514565727</v>
      </c>
      <c r="H127" s="307">
        <f t="shared" ca="1" si="41"/>
        <v>100.93300820049316</v>
      </c>
      <c r="I127" s="304">
        <f t="shared" ca="1" si="42"/>
        <v>101.45792233179267</v>
      </c>
      <c r="J127" s="306">
        <f t="shared" ca="1" si="43"/>
        <v>6.1245610799861696</v>
      </c>
      <c r="K127" s="307">
        <f t="shared" ca="1" si="44"/>
        <v>63.237796624196861</v>
      </c>
      <c r="L127" s="304">
        <f t="shared" ca="1" si="29"/>
        <v>63.533685319724412</v>
      </c>
      <c r="M127" s="306">
        <f t="shared" ca="1" si="45"/>
        <v>1.4690301243128345</v>
      </c>
      <c r="N127" s="304">
        <f t="shared" ca="1" si="46"/>
        <v>84.16922610070408</v>
      </c>
      <c r="P127" s="310">
        <f t="shared" ca="1" si="47"/>
        <v>4</v>
      </c>
      <c r="Q127" s="304">
        <f t="shared" ca="1" si="48"/>
        <v>702.99999999999989</v>
      </c>
      <c r="R127" s="306">
        <f t="shared" ca="1" si="49"/>
        <v>0.35280294602039469</v>
      </c>
      <c r="S127" s="307">
        <f t="shared" ca="1" si="50"/>
        <v>8.0368400948323195</v>
      </c>
      <c r="T127" s="304">
        <f t="shared" ca="1" si="30"/>
        <v>78.841401330305061</v>
      </c>
      <c r="U127" s="311">
        <f t="shared" ca="1" si="31"/>
        <v>0</v>
      </c>
      <c r="V127" s="306">
        <f t="shared" ca="1" si="32"/>
        <v>1.2172777867012394</v>
      </c>
      <c r="W127" s="304">
        <f t="shared" ca="1" si="33"/>
        <v>33.12657451412398</v>
      </c>
      <c r="Y127" s="314" t="str">
        <f t="shared" ca="1" si="51"/>
        <v/>
      </c>
      <c r="Z127" s="315" t="str">
        <f t="shared" ca="1" si="52"/>
        <v/>
      </c>
      <c r="AA127" s="316" t="str">
        <f t="shared" ca="1" si="53"/>
        <v/>
      </c>
      <c r="AC127" s="310" t="e">
        <f t="shared" ca="1" si="54"/>
        <v>#N/A</v>
      </c>
      <c r="AD127" s="323" t="e">
        <f t="shared" ca="1" si="55"/>
        <v>#N/A</v>
      </c>
      <c r="AE127" s="324">
        <f t="shared" ca="1" si="34"/>
        <v>63.237796624196861</v>
      </c>
      <c r="AG127" s="306">
        <f t="shared" ca="1" si="56"/>
        <v>73.650221933794739</v>
      </c>
      <c r="AH127" s="304">
        <f t="shared" ca="1" si="57"/>
        <v>83.409565566863066</v>
      </c>
    </row>
    <row r="128" spans="1:34" x14ac:dyDescent="0.2">
      <c r="A128" s="347">
        <f t="shared" ca="1" si="35"/>
        <v>0.01</v>
      </c>
      <c r="B128" s="304">
        <f t="shared" ca="1" si="36"/>
        <v>1.2400000000000009</v>
      </c>
      <c r="D128" s="306">
        <f t="shared" ca="1" si="37"/>
        <v>8.451091630324866</v>
      </c>
      <c r="E128" s="307">
        <f t="shared" ca="1" si="38"/>
        <v>72.947311171343799</v>
      </c>
      <c r="F128" s="304">
        <f t="shared" ca="1" si="39"/>
        <v>73.435217415576616</v>
      </c>
      <c r="G128" s="306">
        <f t="shared" ca="1" si="40"/>
        <v>10.391686061960518</v>
      </c>
      <c r="H128" s="307">
        <f t="shared" ca="1" si="41"/>
        <v>101.66248131220659</v>
      </c>
      <c r="I128" s="304">
        <f t="shared" ca="1" si="42"/>
        <v>102.19220736320896</v>
      </c>
      <c r="J128" s="306">
        <f t="shared" ca="1" si="43"/>
        <v>6.2280553860242582</v>
      </c>
      <c r="K128" s="307">
        <f t="shared" ca="1" si="44"/>
        <v>64.250774071760361</v>
      </c>
      <c r="L128" s="304">
        <f t="shared" ca="1" si="29"/>
        <v>64.551922068299248</v>
      </c>
      <c r="M128" s="306">
        <f t="shared" ca="1" si="45"/>
        <v>1.4689326017918545</v>
      </c>
      <c r="N128" s="304">
        <f t="shared" ca="1" si="46"/>
        <v>84.16363847184445</v>
      </c>
      <c r="P128" s="310">
        <f t="shared" ca="1" si="47"/>
        <v>4</v>
      </c>
      <c r="Q128" s="304">
        <f t="shared" ca="1" si="48"/>
        <v>701.39999999999986</v>
      </c>
      <c r="R128" s="306">
        <f t="shared" ca="1" si="49"/>
        <v>0.35199998056714771</v>
      </c>
      <c r="S128" s="307">
        <f t="shared" ca="1" si="50"/>
        <v>8.0333200950266477</v>
      </c>
      <c r="T128" s="304">
        <f t="shared" ca="1" si="30"/>
        <v>78.806870132211415</v>
      </c>
      <c r="U128" s="311">
        <f t="shared" ca="1" si="31"/>
        <v>0</v>
      </c>
      <c r="V128" s="306">
        <f t="shared" ca="1" si="32"/>
        <v>1.2171544841993689</v>
      </c>
      <c r="W128" s="304">
        <f t="shared" ca="1" si="33"/>
        <v>33.60440166765224</v>
      </c>
      <c r="Y128" s="314" t="str">
        <f t="shared" ca="1" si="51"/>
        <v/>
      </c>
      <c r="Z128" s="315" t="str">
        <f t="shared" ca="1" si="52"/>
        <v/>
      </c>
      <c r="AA128" s="316" t="str">
        <f t="shared" ca="1" si="53"/>
        <v/>
      </c>
      <c r="AC128" s="310" t="e">
        <f t="shared" ca="1" si="54"/>
        <v>#N/A</v>
      </c>
      <c r="AD128" s="323" t="e">
        <f t="shared" ca="1" si="55"/>
        <v>#N/A</v>
      </c>
      <c r="AE128" s="324">
        <f t="shared" ca="1" si="34"/>
        <v>64.250774071760361</v>
      </c>
      <c r="AG128" s="306">
        <f t="shared" ca="1" si="56"/>
        <v>73.428454545953571</v>
      </c>
      <c r="AH128" s="304">
        <f t="shared" ca="1" si="57"/>
        <v>83.18770042533194</v>
      </c>
    </row>
    <row r="129" spans="1:34" x14ac:dyDescent="0.2">
      <c r="A129" s="347">
        <f t="shared" ca="1" si="35"/>
        <v>0.01</v>
      </c>
      <c r="B129" s="304">
        <f t="shared" ca="1" si="36"/>
        <v>1.2500000000000009</v>
      </c>
      <c r="D129" s="306">
        <f t="shared" ca="1" si="37"/>
        <v>8.4365489185173583</v>
      </c>
      <c r="E129" s="307">
        <f t="shared" ca="1" si="38"/>
        <v>72.725258634100442</v>
      </c>
      <c r="F129" s="304">
        <f t="shared" ca="1" si="39"/>
        <v>73.212967437820311</v>
      </c>
      <c r="G129" s="306">
        <f t="shared" ca="1" si="40"/>
        <v>10.476051551145693</v>
      </c>
      <c r="H129" s="307">
        <f t="shared" ca="1" si="41"/>
        <v>102.3897338985476</v>
      </c>
      <c r="I129" s="304">
        <f t="shared" ca="1" si="42"/>
        <v>102.92426955736752</v>
      </c>
      <c r="J129" s="306">
        <f t="shared" ca="1" si="43"/>
        <v>6.3323940740897893</v>
      </c>
      <c r="K129" s="307">
        <f t="shared" ca="1" si="44"/>
        <v>65.271035147814132</v>
      </c>
      <c r="L129" s="304">
        <f t="shared" ca="1" si="29"/>
        <v>65.577490375713182</v>
      </c>
      <c r="M129" s="306">
        <f t="shared" ca="1" si="45"/>
        <v>1.4688356804423564</v>
      </c>
      <c r="N129" s="304">
        <f t="shared" ca="1" si="46"/>
        <v>84.158085287573499</v>
      </c>
      <c r="P129" s="310">
        <f t="shared" ca="1" si="47"/>
        <v>4</v>
      </c>
      <c r="Q129" s="304">
        <f t="shared" ca="1" si="48"/>
        <v>699.79999999999984</v>
      </c>
      <c r="R129" s="306">
        <f t="shared" ca="1" si="49"/>
        <v>0.35119701511390067</v>
      </c>
      <c r="S129" s="307">
        <f t="shared" ca="1" si="50"/>
        <v>8.0298081248755082</v>
      </c>
      <c r="T129" s="304">
        <f t="shared" ca="1" si="30"/>
        <v>78.772417705028744</v>
      </c>
      <c r="U129" s="311">
        <f t="shared" ca="1" si="31"/>
        <v>0</v>
      </c>
      <c r="V129" s="306">
        <f t="shared" ca="1" si="32"/>
        <v>1.217030307697712</v>
      </c>
      <c r="W129" s="304">
        <f t="shared" ca="1" si="33"/>
        <v>34.084104191311667</v>
      </c>
      <c r="Y129" s="314" t="str">
        <f t="shared" ca="1" si="51"/>
        <v/>
      </c>
      <c r="Z129" s="315" t="str">
        <f t="shared" ca="1" si="52"/>
        <v/>
      </c>
      <c r="AA129" s="316" t="str">
        <f t="shared" ca="1" si="53"/>
        <v/>
      </c>
      <c r="AC129" s="310" t="e">
        <f t="shared" ca="1" si="54"/>
        <v>#N/A</v>
      </c>
      <c r="AD129" s="323" t="e">
        <f t="shared" ca="1" si="55"/>
        <v>#N/A</v>
      </c>
      <c r="AE129" s="324">
        <f t="shared" ca="1" si="34"/>
        <v>65.271035147814132</v>
      </c>
      <c r="AG129" s="306">
        <f t="shared" ca="1" si="56"/>
        <v>73.206171073623025</v>
      </c>
      <c r="AH129" s="304">
        <f t="shared" ca="1" si="57"/>
        <v>82.965319715242401</v>
      </c>
    </row>
    <row r="130" spans="1:34" x14ac:dyDescent="0.2">
      <c r="A130" s="347">
        <f t="shared" ca="1" si="35"/>
        <v>0.01</v>
      </c>
      <c r="B130" s="304">
        <f t="shared" ca="1" si="36"/>
        <v>1.2600000000000009</v>
      </c>
      <c r="D130" s="306">
        <f t="shared" ca="1" si="37"/>
        <v>8.4218614770445175</v>
      </c>
      <c r="E130" s="307">
        <f t="shared" ca="1" si="38"/>
        <v>72.502706400410148</v>
      </c>
      <c r="F130" s="304">
        <f t="shared" ca="1" si="39"/>
        <v>72.990206097274452</v>
      </c>
      <c r="G130" s="306">
        <f t="shared" ca="1" si="40"/>
        <v>10.560270165916139</v>
      </c>
      <c r="H130" s="307">
        <f t="shared" ca="1" si="41"/>
        <v>103.1147609625517</v>
      </c>
      <c r="I130" s="304">
        <f t="shared" ca="1" si="42"/>
        <v>103.65410379884298</v>
      </c>
      <c r="J130" s="306">
        <f t="shared" ca="1" si="43"/>
        <v>6.4375756826750985</v>
      </c>
      <c r="K130" s="307">
        <f t="shared" ca="1" si="44"/>
        <v>66.298557622119631</v>
      </c>
      <c r="L130" s="304">
        <f t="shared" ca="1" si="29"/>
        <v>66.610367987601492</v>
      </c>
      <c r="M130" s="306">
        <f t="shared" ca="1" si="45"/>
        <v>1.4687393502693369</v>
      </c>
      <c r="N130" s="304">
        <f t="shared" ca="1" si="46"/>
        <v>84.152565975219716</v>
      </c>
      <c r="P130" s="310">
        <f t="shared" ca="1" si="47"/>
        <v>4</v>
      </c>
      <c r="Q130" s="304">
        <f t="shared" ca="1" si="48"/>
        <v>698.19999999999982</v>
      </c>
      <c r="R130" s="306">
        <f t="shared" ca="1" si="49"/>
        <v>0.35039404966065368</v>
      </c>
      <c r="S130" s="307">
        <f t="shared" ca="1" si="50"/>
        <v>8.0263041843789011</v>
      </c>
      <c r="T130" s="304">
        <f t="shared" ca="1" si="30"/>
        <v>78.738044048757018</v>
      </c>
      <c r="U130" s="311">
        <f t="shared" ca="1" si="31"/>
        <v>0</v>
      </c>
      <c r="V130" s="306">
        <f t="shared" ca="1" si="32"/>
        <v>1.2169052601700432</v>
      </c>
      <c r="W130" s="304">
        <f t="shared" ca="1" si="33"/>
        <v>34.565645694861061</v>
      </c>
      <c r="Y130" s="314" t="str">
        <f t="shared" ca="1" si="51"/>
        <v/>
      </c>
      <c r="Z130" s="315" t="str">
        <f t="shared" ca="1" si="52"/>
        <v/>
      </c>
      <c r="AA130" s="316" t="str">
        <f t="shared" ca="1" si="53"/>
        <v/>
      </c>
      <c r="AC130" s="310" t="e">
        <f t="shared" ca="1" si="54"/>
        <v>#N/A</v>
      </c>
      <c r="AD130" s="323" t="e">
        <f t="shared" ca="1" si="55"/>
        <v>#N/A</v>
      </c>
      <c r="AE130" s="324">
        <f t="shared" ca="1" si="34"/>
        <v>66.298557622119631</v>
      </c>
      <c r="AG130" s="306">
        <f t="shared" ca="1" si="56"/>
        <v>72.983376054622099</v>
      </c>
      <c r="AH130" s="304">
        <f t="shared" ca="1" si="57"/>
        <v>82.742427965939271</v>
      </c>
    </row>
    <row r="131" spans="1:34" x14ac:dyDescent="0.2">
      <c r="A131" s="347">
        <f t="shared" ca="1" si="35"/>
        <v>0.01</v>
      </c>
      <c r="B131" s="304">
        <f t="shared" ca="1" si="36"/>
        <v>1.2700000000000009</v>
      </c>
      <c r="D131" s="306">
        <f t="shared" ca="1" si="37"/>
        <v>8.4070308425892417</v>
      </c>
      <c r="E131" s="307">
        <f t="shared" ca="1" si="38"/>
        <v>72.279658893038643</v>
      </c>
      <c r="F131" s="304">
        <f t="shared" ca="1" si="39"/>
        <v>72.766937940813932</v>
      </c>
      <c r="G131" s="306">
        <f t="shared" ca="1" si="40"/>
        <v>10.64434047434203</v>
      </c>
      <c r="H131" s="307">
        <f t="shared" ca="1" si="41"/>
        <v>103.83755755148209</v>
      </c>
      <c r="I131" s="304">
        <f t="shared" ca="1" si="42"/>
        <v>104.38170501764699</v>
      </c>
      <c r="J131" s="306">
        <f t="shared" ca="1" si="43"/>
        <v>6.5435987358763894</v>
      </c>
      <c r="K131" s="307">
        <f t="shared" ca="1" si="44"/>
        <v>67.333319214689794</v>
      </c>
      <c r="L131" s="304">
        <f t="shared" ca="1" si="29"/>
        <v>67.650532598668249</v>
      </c>
      <c r="M131" s="306">
        <f t="shared" ca="1" si="45"/>
        <v>1.4686436015112907</v>
      </c>
      <c r="N131" s="304">
        <f t="shared" ca="1" si="46"/>
        <v>84.147079975490044</v>
      </c>
      <c r="P131" s="310">
        <f t="shared" ca="1" si="47"/>
        <v>4</v>
      </c>
      <c r="Q131" s="304">
        <f t="shared" ca="1" si="48"/>
        <v>696.5999999999998</v>
      </c>
      <c r="R131" s="306">
        <f t="shared" ca="1" si="49"/>
        <v>0.3495910842074067</v>
      </c>
      <c r="S131" s="307">
        <f t="shared" ca="1" si="50"/>
        <v>8.0228082735368265</v>
      </c>
      <c r="T131" s="304">
        <f t="shared" ca="1" si="30"/>
        <v>78.703749163396267</v>
      </c>
      <c r="U131" s="311">
        <f t="shared" ca="1" si="31"/>
        <v>0</v>
      </c>
      <c r="V131" s="306">
        <f t="shared" ca="1" si="32"/>
        <v>1.2167793445969211</v>
      </c>
      <c r="W131" s="304">
        <f t="shared" ca="1" si="33"/>
        <v>35.048989828916739</v>
      </c>
      <c r="Y131" s="314" t="str">
        <f t="shared" ca="1" si="51"/>
        <v/>
      </c>
      <c r="Z131" s="315" t="str">
        <f t="shared" ca="1" si="52"/>
        <v/>
      </c>
      <c r="AA131" s="316" t="str">
        <f t="shared" ca="1" si="53"/>
        <v/>
      </c>
      <c r="AC131" s="310" t="e">
        <f t="shared" ca="1" si="54"/>
        <v>#N/A</v>
      </c>
      <c r="AD131" s="323" t="e">
        <f t="shared" ca="1" si="55"/>
        <v>#N/A</v>
      </c>
      <c r="AE131" s="324">
        <f t="shared" ca="1" si="34"/>
        <v>67.333319214689794</v>
      </c>
      <c r="AG131" s="306">
        <f t="shared" ca="1" si="56"/>
        <v>72.760074032742452</v>
      </c>
      <c r="AH131" s="304">
        <f t="shared" ca="1" si="57"/>
        <v>82.519029712931584</v>
      </c>
    </row>
    <row r="132" spans="1:34" x14ac:dyDescent="0.2">
      <c r="A132" s="347">
        <f t="shared" ca="1" si="35"/>
        <v>0.01</v>
      </c>
      <c r="B132" s="304">
        <f t="shared" ca="1" si="36"/>
        <v>1.2800000000000009</v>
      </c>
      <c r="D132" s="306">
        <f t="shared" ca="1" si="37"/>
        <v>8.3920585279227549</v>
      </c>
      <c r="E132" s="307">
        <f t="shared" ca="1" si="38"/>
        <v>72.056120542564699</v>
      </c>
      <c r="F132" s="304">
        <f t="shared" ca="1" si="39"/>
        <v>72.543167521005685</v>
      </c>
      <c r="G132" s="306">
        <f t="shared" ca="1" si="40"/>
        <v>10.728261059621257</v>
      </c>
      <c r="H132" s="307">
        <f t="shared" ca="1" si="41"/>
        <v>104.55811875690775</v>
      </c>
      <c r="I132" s="304">
        <f t="shared" ca="1" si="42"/>
        <v>105.10706818928502</v>
      </c>
      <c r="J132" s="306">
        <f t="shared" ca="1" si="43"/>
        <v>6.6504617435462059</v>
      </c>
      <c r="K132" s="307">
        <f t="shared" ca="1" si="44"/>
        <v>68.375297596231746</v>
      </c>
      <c r="L132" s="304">
        <f t="shared" ref="L132:L195" ca="1" si="58">SQRT(pos_x^2+pos_z^2)</f>
        <v>68.697961853141081</v>
      </c>
      <c r="M132" s="306">
        <f t="shared" ca="1" si="45"/>
        <v>1.4685484246328619</v>
      </c>
      <c r="N132" s="304">
        <f t="shared" ca="1" si="46"/>
        <v>84.141626742048857</v>
      </c>
      <c r="P132" s="310">
        <f t="shared" ca="1" si="47"/>
        <v>4</v>
      </c>
      <c r="Q132" s="304">
        <f t="shared" ca="1" si="48"/>
        <v>694.99999999999989</v>
      </c>
      <c r="R132" s="306">
        <f t="shared" ca="1" si="49"/>
        <v>0.34878811875415977</v>
      </c>
      <c r="S132" s="307">
        <f t="shared" ca="1" si="50"/>
        <v>8.0193203923492842</v>
      </c>
      <c r="T132" s="304">
        <f t="shared" ref="T132:T195" ca="1" si="59">m*g</f>
        <v>78.669533048946477</v>
      </c>
      <c r="U132" s="311">
        <f t="shared" ref="U132:U195" ca="1" si="60">IF(pos_xz&lt;L_rampe,Poids*COS(Beta),0)</f>
        <v>0</v>
      </c>
      <c r="V132" s="306">
        <f t="shared" ref="V132:V195" ca="1" si="61">Rho_moyen*(20000-Alt_rampe-pos_z)/(20000+Alt_rampe+pos_z)</f>
        <v>1.2166525639656125</v>
      </c>
      <c r="W132" s="304">
        <f t="shared" ref="W132:W195" ca="1" si="62">1/2*Rho*Sref*Cx*vit_xz^2</f>
        <v>35.534100287077067</v>
      </c>
      <c r="Y132" s="314" t="str">
        <f t="shared" ca="1" si="51"/>
        <v/>
      </c>
      <c r="Z132" s="315" t="str">
        <f t="shared" ca="1" si="52"/>
        <v/>
      </c>
      <c r="AA132" s="316" t="str">
        <f t="shared" ca="1" si="53"/>
        <v/>
      </c>
      <c r="AC132" s="310" t="e">
        <f t="shared" ca="1" si="54"/>
        <v>#N/A</v>
      </c>
      <c r="AD132" s="323" t="e">
        <f t="shared" ca="1" si="55"/>
        <v>#N/A</v>
      </c>
      <c r="AE132" s="324">
        <f t="shared" ref="AE132:AE195" ca="1" si="63">IF(t&lt;T_para, pos_z, NA())</f>
        <v>68.375297596231746</v>
      </c>
      <c r="AG132" s="306">
        <f t="shared" ca="1" si="56"/>
        <v>72.536269557456095</v>
      </c>
      <c r="AH132" s="304">
        <f t="shared" ca="1" si="57"/>
        <v>82.295129497594303</v>
      </c>
    </row>
    <row r="133" spans="1:34" x14ac:dyDescent="0.2">
      <c r="A133" s="347">
        <f t="shared" ref="A133:A196" ca="1" si="64">IF(B132+0.01&lt;=T_ini+ROUNDUP(Temps_fin_propu,0), 0.01, IF(K132&gt;0, 0.1, 0.0001))</f>
        <v>0.01</v>
      </c>
      <c r="B133" s="304">
        <f t="shared" ref="B133:B196" ca="1" si="65">B132+pas</f>
        <v>1.2900000000000009</v>
      </c>
      <c r="D133" s="306">
        <f t="shared" ref="D133:D196" ca="1" si="66">IF(AND(L132&lt;L_rampe,Poussee&lt;Poids*SIN(M132)),0,(-W132+Poussee)/m*COS(M132)-U132/m*SIN(M132))</f>
        <v>8.3769460226626595</v>
      </c>
      <c r="E133" s="307">
        <f t="shared" ref="E133:E196" ca="1" si="67">IF(AND(L132&lt;L_rampe,Poussee&lt;Poids*SIN(M132)),0,(-W132+Poussee)/m*SIN(M132)+U132/m*COS(M132)-Poids/m)</f>
        <v>71.832095787021245</v>
      </c>
      <c r="F133" s="304">
        <f t="shared" ref="F133:F196" ca="1" si="68">SQRT(acc_x^2+acc_z^2)</f>
        <v>72.318899395817681</v>
      </c>
      <c r="G133" s="306">
        <f t="shared" ref="G133:G196" ca="1" si="69">G132+acc_x*pas</f>
        <v>10.812030519847884</v>
      </c>
      <c r="H133" s="307">
        <f t="shared" ref="H133:H196" ca="1" si="70">H132+acc_z*pas</f>
        <v>105.27643971477796</v>
      </c>
      <c r="I133" s="304">
        <f t="shared" ref="I133:I196" ca="1" si="71">SQRT(vit_x^2+vit_z^2)</f>
        <v>105.83018833481022</v>
      </c>
      <c r="J133" s="306">
        <f t="shared" ref="J133:J196" ca="1" si="72">J132+0.5*(vit_x+G132)*pas*(K132&gt;=0)</f>
        <v>6.7581632014435513</v>
      </c>
      <c r="K133" s="307">
        <f t="shared" ref="K133:K196" ca="1" si="73">K132+0.5*(vit_z+H132)*pas</f>
        <v>69.42447038859018</v>
      </c>
      <c r="L133" s="304">
        <f t="shared" ca="1" si="58"/>
        <v>69.752633345226329</v>
      </c>
      <c r="M133" s="306">
        <f t="shared" ref="M133:M196" ca="1" si="74">IF(AND(L132&gt;L_rampe,G133&gt;0),ATAN2(G133,H133),$M$4)</f>
        <v>1.4684538103177842</v>
      </c>
      <c r="N133" s="304">
        <f t="shared" ref="N133:N196" ca="1" si="75">DEGREES(Beta)</f>
        <v>84.136205741113372</v>
      </c>
      <c r="P133" s="310">
        <f t="shared" ref="P133:P196" ca="1" si="76">MATCH(t-pas/2-T_ini,CdP_t)</f>
        <v>4</v>
      </c>
      <c r="Q133" s="304">
        <f t="shared" ref="Q133:Q196" ca="1" si="77">(INDEX(CdP,2,i_P+1)-INDEX(CdP,2,i_P+0))/(INDEX(CdP,1,i_P+1)-INDEX(CdP,1,i_P+0))*(t-pas/2-T_ini-INDEX(CdP,1,i_P+0))+INDEX(CdP,2,i_P+0)</f>
        <v>693.39999999999986</v>
      </c>
      <c r="R133" s="306">
        <f t="shared" ref="R133:R196" ca="1" si="78">Poussee/(g*ISP)</f>
        <v>0.34798515330091273</v>
      </c>
      <c r="S133" s="307">
        <f t="shared" ref="S133:S196" ca="1" si="79">S132-Débit*pas</f>
        <v>8.0158405408162743</v>
      </c>
      <c r="T133" s="304">
        <f t="shared" ca="1" si="59"/>
        <v>78.63539570540766</v>
      </c>
      <c r="U133" s="311">
        <f t="shared" ca="1" si="60"/>
        <v>0</v>
      </c>
      <c r="V133" s="306">
        <f t="shared" ca="1" si="61"/>
        <v>1.2165249212700147</v>
      </c>
      <c r="W133" s="304">
        <f t="shared" ca="1" si="62"/>
        <v>36.020940808035277</v>
      </c>
      <c r="Y133" s="314" t="str">
        <f t="shared" ref="Y133:Y196" ca="1" si="80">IF(AND(pos_z&lt;=0,K132&gt;0),"Impact balistique","") &amp; IF(AND(H134&lt;0,vit_z&gt;=0),"Apogée","") &amp; IF(AND(Poussee=0,Q132&gt;0),"Fin de propulsion","") &amp; IF(AND(L134&gt;L_rampe,pos_xz&lt;=L_rampe),"Sortie de rampe","")</f>
        <v/>
      </c>
      <c r="Z133" s="315" t="str">
        <f t="shared" ref="Z133:Z196" ca="1" si="81">IF(ABS(t-T_para)&lt;pas/2,"Para","")</f>
        <v/>
      </c>
      <c r="AA133" s="316" t="str">
        <f t="shared" ref="AA133:AA196" ca="1" si="82">IF(ABS(t-T_satellite)&lt;pas/2,"Satellite","")</f>
        <v/>
      </c>
      <c r="AC133" s="310" t="e">
        <f t="shared" ref="AC133:AC196" ca="1" si="83">IF(ABS(t-ROUND(t,0))&lt;0.001,t,NA())</f>
        <v>#N/A</v>
      </c>
      <c r="AD133" s="323" t="e">
        <f t="shared" ref="AD133:AD196" ca="1" si="84">IF(ABS(t-ROUND(t,0))&lt;0.001,pos_x,NA())</f>
        <v>#N/A</v>
      </c>
      <c r="AE133" s="324">
        <f t="shared" ca="1" si="63"/>
        <v>69.42447038859018</v>
      </c>
      <c r="AG133" s="306">
        <f t="shared" ref="AG133:AG196" ca="1" si="85">IF(AND(L132&lt;L_rampe,Poussee&lt;Poids*SIN(M132)),0,(-W132+Poussee)/m-Poids*SIN(M132)/m)</f>
        <v>72.311967183623167</v>
      </c>
      <c r="AH133" s="304">
        <f t="shared" ref="AH133:AH196" ca="1" si="86">IF(AND(L132&lt;L_rampe,Poussee&lt;Poids*SIN(M132)), g*SIN(M132), (-W132+Poussee)/m)</f>
        <v>82.070731866870517</v>
      </c>
    </row>
    <row r="134" spans="1:34" x14ac:dyDescent="0.2">
      <c r="A134" s="347">
        <f t="shared" ca="1" si="64"/>
        <v>0.01</v>
      </c>
      <c r="B134" s="304">
        <f t="shared" ca="1" si="65"/>
        <v>1.3000000000000009</v>
      </c>
      <c r="D134" s="306">
        <f t="shared" ca="1" si="66"/>
        <v>8.361694794000055</v>
      </c>
      <c r="E134" s="307">
        <f t="shared" ca="1" si="67"/>
        <v>71.607589071539508</v>
      </c>
      <c r="F134" s="304">
        <f t="shared" ca="1" si="68"/>
        <v>72.09413812832824</v>
      </c>
      <c r="G134" s="306">
        <f t="shared" ca="1" si="69"/>
        <v>10.895647467787885</v>
      </c>
      <c r="H134" s="307">
        <f t="shared" ca="1" si="70"/>
        <v>105.99251560549337</v>
      </c>
      <c r="I134" s="304">
        <f t="shared" ca="1" si="71"/>
        <v>106.55106052087453</v>
      </c>
      <c r="J134" s="306">
        <f t="shared" ca="1" si="72"/>
        <v>6.8667015913817302</v>
      </c>
      <c r="K134" s="307">
        <f t="shared" ca="1" si="73"/>
        <v>70.48081516519153</v>
      </c>
      <c r="L134" s="304">
        <f t="shared" ca="1" si="58"/>
        <v>70.814524619565006</v>
      </c>
      <c r="M134" s="306">
        <f t="shared" ca="1" si="74"/>
        <v>1.468359749462095</v>
      </c>
      <c r="N134" s="304">
        <f t="shared" ca="1" si="75"/>
        <v>84.130816451065002</v>
      </c>
      <c r="P134" s="310">
        <f t="shared" ca="1" si="76"/>
        <v>4</v>
      </c>
      <c r="Q134" s="304">
        <f t="shared" ca="1" si="77"/>
        <v>691.79999999999984</v>
      </c>
      <c r="R134" s="306">
        <f t="shared" ca="1" si="78"/>
        <v>0.34718218784766575</v>
      </c>
      <c r="S134" s="307">
        <f t="shared" ca="1" si="79"/>
        <v>8.0123687189377968</v>
      </c>
      <c r="T134" s="304">
        <f t="shared" ca="1" si="59"/>
        <v>78.60133713277979</v>
      </c>
      <c r="U134" s="311">
        <f t="shared" ca="1" si="60"/>
        <v>0</v>
      </c>
      <c r="V134" s="306">
        <f t="shared" ca="1" si="61"/>
        <v>1.2163964195105759</v>
      </c>
      <c r="W134" s="304">
        <f t="shared" ca="1" si="62"/>
        <v>36.509475177680351</v>
      </c>
      <c r="Y134" s="314" t="str">
        <f t="shared" ca="1" si="80"/>
        <v/>
      </c>
      <c r="Z134" s="315" t="str">
        <f t="shared" ca="1" si="81"/>
        <v/>
      </c>
      <c r="AA134" s="316" t="str">
        <f t="shared" ca="1" si="82"/>
        <v/>
      </c>
      <c r="AC134" s="310" t="e">
        <f t="shared" ca="1" si="83"/>
        <v>#N/A</v>
      </c>
      <c r="AD134" s="323" t="e">
        <f t="shared" ca="1" si="84"/>
        <v>#N/A</v>
      </c>
      <c r="AE134" s="324">
        <f t="shared" ca="1" si="63"/>
        <v>70.48081516519153</v>
      </c>
      <c r="AG134" s="306">
        <f t="shared" ca="1" si="85"/>
        <v>72.087171471200477</v>
      </c>
      <c r="AH134" s="304">
        <f t="shared" ca="1" si="86"/>
        <v>81.845841372974334</v>
      </c>
    </row>
    <row r="135" spans="1:34" x14ac:dyDescent="0.2">
      <c r="A135" s="347">
        <f t="shared" ca="1" si="64"/>
        <v>0.01</v>
      </c>
      <c r="B135" s="304">
        <f t="shared" ca="1" si="65"/>
        <v>1.3100000000000009</v>
      </c>
      <c r="D135" s="306">
        <f t="shared" ca="1" si="66"/>
        <v>8.3463062873971658</v>
      </c>
      <c r="E135" s="307">
        <f t="shared" ca="1" si="67"/>
        <v>71.38260484799622</v>
      </c>
      <c r="F135" s="304">
        <f t="shared" ca="1" si="68"/>
        <v>71.868888286436004</v>
      </c>
      <c r="G135" s="306">
        <f t="shared" ca="1" si="69"/>
        <v>10.979110530661856</v>
      </c>
      <c r="H135" s="307">
        <f t="shared" ca="1" si="70"/>
        <v>106.70634165397333</v>
      </c>
      <c r="I135" s="304">
        <f t="shared" ca="1" si="71"/>
        <v>107.26967985977666</v>
      </c>
      <c r="J135" s="306">
        <f t="shared" ca="1" si="72"/>
        <v>6.9760753813739793</v>
      </c>
      <c r="K135" s="307">
        <f t="shared" ca="1" si="73"/>
        <v>71.544309451488857</v>
      </c>
      <c r="L135" s="304">
        <f t="shared" ca="1" si="58"/>
        <v>71.883613171688921</v>
      </c>
      <c r="M135" s="306">
        <f t="shared" ca="1" si="74"/>
        <v>1.4682662331676095</v>
      </c>
      <c r="N135" s="304">
        <f t="shared" ca="1" si="75"/>
        <v>84.125458362075278</v>
      </c>
      <c r="P135" s="310">
        <f t="shared" ca="1" si="76"/>
        <v>4</v>
      </c>
      <c r="Q135" s="304">
        <f t="shared" ca="1" si="77"/>
        <v>690.19999999999982</v>
      </c>
      <c r="R135" s="306">
        <f t="shared" ca="1" si="78"/>
        <v>0.34637922239441876</v>
      </c>
      <c r="S135" s="307">
        <f t="shared" ca="1" si="79"/>
        <v>8.0089049267138535</v>
      </c>
      <c r="T135" s="304">
        <f t="shared" ca="1" si="59"/>
        <v>78.567357331062908</v>
      </c>
      <c r="U135" s="311">
        <f t="shared" ca="1" si="60"/>
        <v>0</v>
      </c>
      <c r="V135" s="306">
        <f t="shared" ca="1" si="61"/>
        <v>1.2162670616942213</v>
      </c>
      <c r="W135" s="304">
        <f t="shared" ca="1" si="62"/>
        <v>36.999667231185704</v>
      </c>
      <c r="Y135" s="314" t="str">
        <f t="shared" ca="1" si="80"/>
        <v/>
      </c>
      <c r="Z135" s="315" t="str">
        <f t="shared" ca="1" si="81"/>
        <v/>
      </c>
      <c r="AA135" s="316" t="str">
        <f t="shared" ca="1" si="82"/>
        <v/>
      </c>
      <c r="AC135" s="310" t="e">
        <f t="shared" ca="1" si="83"/>
        <v>#N/A</v>
      </c>
      <c r="AD135" s="323" t="e">
        <f t="shared" ca="1" si="84"/>
        <v>#N/A</v>
      </c>
      <c r="AE135" s="324">
        <f t="shared" ca="1" si="63"/>
        <v>71.544309451488857</v>
      </c>
      <c r="AG135" s="306">
        <f t="shared" ca="1" si="85"/>
        <v>71.861886984950132</v>
      </c>
      <c r="AH135" s="304">
        <f t="shared" ca="1" si="86"/>
        <v>81.620462573094414</v>
      </c>
    </row>
    <row r="136" spans="1:34" x14ac:dyDescent="0.2">
      <c r="A136" s="347">
        <f t="shared" ca="1" si="64"/>
        <v>0.01</v>
      </c>
      <c r="B136" s="304">
        <f t="shared" ca="1" si="65"/>
        <v>1.320000000000001</v>
      </c>
      <c r="D136" s="306">
        <f t="shared" ca="1" si="66"/>
        <v>8.3307819272570853</v>
      </c>
      <c r="E136" s="307">
        <f t="shared" ca="1" si="67"/>
        <v>71.157147574663455</v>
      </c>
      <c r="F136" s="304">
        <f t="shared" ca="1" si="68"/>
        <v>71.643154442570065</v>
      </c>
      <c r="G136" s="306">
        <f t="shared" ca="1" si="69"/>
        <v>11.062418349934427</v>
      </c>
      <c r="H136" s="307">
        <f t="shared" ca="1" si="70"/>
        <v>107.41791312971996</v>
      </c>
      <c r="I136" s="304">
        <f t="shared" ca="1" si="71"/>
        <v>107.98604150950729</v>
      </c>
      <c r="J136" s="306">
        <f t="shared" ca="1" si="72"/>
        <v>7.0862830257769609</v>
      </c>
      <c r="K136" s="307">
        <f t="shared" ca="1" si="73"/>
        <v>72.614930725407319</v>
      </c>
      <c r="L136" s="304">
        <f t="shared" ca="1" si="58"/>
        <v>72.959876448477615</v>
      </c>
      <c r="M136" s="306">
        <f t="shared" ca="1" si="74"/>
        <v>1.4681732527356481</v>
      </c>
      <c r="N136" s="304">
        <f t="shared" ca="1" si="75"/>
        <v>84.120130975746591</v>
      </c>
      <c r="P136" s="310">
        <f t="shared" ca="1" si="76"/>
        <v>4</v>
      </c>
      <c r="Q136" s="304">
        <f t="shared" ca="1" si="77"/>
        <v>688.5999999999998</v>
      </c>
      <c r="R136" s="306">
        <f t="shared" ca="1" si="78"/>
        <v>0.34557625694117178</v>
      </c>
      <c r="S136" s="307">
        <f t="shared" ca="1" si="79"/>
        <v>8.0054491641444425</v>
      </c>
      <c r="T136" s="304">
        <f t="shared" ca="1" si="59"/>
        <v>78.533456300256987</v>
      </c>
      <c r="U136" s="311">
        <f t="shared" ca="1" si="60"/>
        <v>0</v>
      </c>
      <c r="V136" s="306">
        <f t="shared" ca="1" si="61"/>
        <v>1.2161368508342714</v>
      </c>
      <c r="W136" s="304">
        <f t="shared" ca="1" si="62"/>
        <v>37.491480855085577</v>
      </c>
      <c r="Y136" s="314" t="str">
        <f t="shared" ca="1" si="80"/>
        <v/>
      </c>
      <c r="Z136" s="315" t="str">
        <f t="shared" ca="1" si="81"/>
        <v/>
      </c>
      <c r="AA136" s="316" t="str">
        <f t="shared" ca="1" si="82"/>
        <v/>
      </c>
      <c r="AC136" s="310" t="e">
        <f t="shared" ca="1" si="83"/>
        <v>#N/A</v>
      </c>
      <c r="AD136" s="323" t="e">
        <f t="shared" ca="1" si="84"/>
        <v>#N/A</v>
      </c>
      <c r="AE136" s="324">
        <f t="shared" ca="1" si="63"/>
        <v>72.614930725407319</v>
      </c>
      <c r="AG136" s="306">
        <f t="shared" ca="1" si="85"/>
        <v>71.636118294148829</v>
      </c>
      <c r="AH136" s="304">
        <f t="shared" ca="1" si="86"/>
        <v>81.394600029098029</v>
      </c>
    </row>
    <row r="137" spans="1:34" x14ac:dyDescent="0.2">
      <c r="A137" s="347">
        <f t="shared" ca="1" si="64"/>
        <v>0.01</v>
      </c>
      <c r="B137" s="304">
        <f t="shared" ca="1" si="65"/>
        <v>1.330000000000001</v>
      </c>
      <c r="D137" s="306">
        <f t="shared" ca="1" si="66"/>
        <v>8.3151231175663725</v>
      </c>
      <c r="E137" s="307">
        <f t="shared" ca="1" si="67"/>
        <v>70.931221715861568</v>
      </c>
      <c r="F137" s="304">
        <f t="shared" ca="1" si="68"/>
        <v>71.416941173400858</v>
      </c>
      <c r="G137" s="306">
        <f t="shared" ca="1" si="69"/>
        <v>11.145569581110092</v>
      </c>
      <c r="H137" s="307">
        <f t="shared" ca="1" si="70"/>
        <v>108.12722534687857</v>
      </c>
      <c r="I137" s="304">
        <f t="shared" ca="1" si="71"/>
        <v>108.70014067379134</v>
      </c>
      <c r="J137" s="306">
        <f t="shared" ca="1" si="72"/>
        <v>7.1973229654321838</v>
      </c>
      <c r="K137" s="307">
        <f t="shared" ca="1" si="73"/>
        <v>73.692656417790317</v>
      </c>
      <c r="L137" s="304">
        <f t="shared" ca="1" si="58"/>
        <v>74.043291848615354</v>
      </c>
      <c r="M137" s="306">
        <f t="shared" ca="1" si="74"/>
        <v>1.4680807996609972</v>
      </c>
      <c r="N137" s="304">
        <f t="shared" ca="1" si="75"/>
        <v>84.114833804766079</v>
      </c>
      <c r="P137" s="310">
        <f t="shared" ca="1" si="76"/>
        <v>4</v>
      </c>
      <c r="Q137" s="304">
        <f t="shared" ca="1" si="77"/>
        <v>686.99999999999977</v>
      </c>
      <c r="R137" s="306">
        <f t="shared" ca="1" si="78"/>
        <v>0.34477329148792474</v>
      </c>
      <c r="S137" s="307">
        <f t="shared" ca="1" si="79"/>
        <v>8.002001431229564</v>
      </c>
      <c r="T137" s="304">
        <f t="shared" ca="1" si="59"/>
        <v>78.499634040362025</v>
      </c>
      <c r="U137" s="311">
        <f t="shared" ca="1" si="60"/>
        <v>0</v>
      </c>
      <c r="V137" s="306">
        <f t="shared" ca="1" si="61"/>
        <v>1.2160057899503676</v>
      </c>
      <c r="W137" s="304">
        <f t="shared" ca="1" si="62"/>
        <v>37.984879989338985</v>
      </c>
      <c r="Y137" s="314" t="str">
        <f t="shared" ca="1" si="80"/>
        <v/>
      </c>
      <c r="Z137" s="315" t="str">
        <f t="shared" ca="1" si="81"/>
        <v/>
      </c>
      <c r="AA137" s="316" t="str">
        <f t="shared" ca="1" si="82"/>
        <v/>
      </c>
      <c r="AC137" s="310" t="e">
        <f t="shared" ca="1" si="83"/>
        <v>#N/A</v>
      </c>
      <c r="AD137" s="323" t="e">
        <f t="shared" ca="1" si="84"/>
        <v>#N/A</v>
      </c>
      <c r="AE137" s="324">
        <f t="shared" ca="1" si="63"/>
        <v>73.692656417790317</v>
      </c>
      <c r="AG137" s="306">
        <f t="shared" ca="1" si="85"/>
        <v>71.40986997229767</v>
      </c>
      <c r="AH137" s="304">
        <f t="shared" ca="1" si="86"/>
        <v>81.168258307236101</v>
      </c>
    </row>
    <row r="138" spans="1:34" x14ac:dyDescent="0.2">
      <c r="A138" s="347">
        <f t="shared" ca="1" si="64"/>
        <v>0.01</v>
      </c>
      <c r="B138" s="304">
        <f t="shared" ca="1" si="65"/>
        <v>1.340000000000001</v>
      </c>
      <c r="D138" s="306">
        <f t="shared" ca="1" si="66"/>
        <v>8.299331242512471</v>
      </c>
      <c r="E138" s="307">
        <f t="shared" ca="1" si="67"/>
        <v>70.70483174161447</v>
      </c>
      <c r="F138" s="304">
        <f t="shared" ca="1" si="68"/>
        <v>71.190253059551324</v>
      </c>
      <c r="G138" s="306">
        <f t="shared" ca="1" si="69"/>
        <v>11.228562893535216</v>
      </c>
      <c r="H138" s="307">
        <f t="shared" ca="1" si="70"/>
        <v>108.83427366429471</v>
      </c>
      <c r="I138" s="304">
        <f t="shared" ca="1" si="71"/>
        <v>109.41197260212736</v>
      </c>
      <c r="J138" s="306">
        <f t="shared" ca="1" si="72"/>
        <v>7.3091936278054099</v>
      </c>
      <c r="K138" s="307">
        <f t="shared" ca="1" si="73"/>
        <v>74.777463912846187</v>
      </c>
      <c r="L138" s="304">
        <f t="shared" ca="1" si="58"/>
        <v>75.133836723048859</v>
      </c>
      <c r="M138" s="306">
        <f t="shared" ca="1" si="74"/>
        <v>1.4679888656261015</v>
      </c>
      <c r="N138" s="304">
        <f t="shared" ca="1" si="75"/>
        <v>84.109566372572942</v>
      </c>
      <c r="P138" s="310">
        <f t="shared" ca="1" si="76"/>
        <v>4</v>
      </c>
      <c r="Q138" s="304">
        <f t="shared" ca="1" si="77"/>
        <v>685.39999999999986</v>
      </c>
      <c r="R138" s="306">
        <f t="shared" ca="1" si="78"/>
        <v>0.34397032603467781</v>
      </c>
      <c r="S138" s="307">
        <f t="shared" ca="1" si="79"/>
        <v>7.9985617279692169</v>
      </c>
      <c r="T138" s="304">
        <f t="shared" ca="1" si="59"/>
        <v>78.465890551378024</v>
      </c>
      <c r="U138" s="311">
        <f t="shared" ca="1" si="60"/>
        <v>0</v>
      </c>
      <c r="V138" s="306">
        <f t="shared" ca="1" si="61"/>
        <v>1.215873882068391</v>
      </c>
      <c r="W138" s="304">
        <f t="shared" ca="1" si="62"/>
        <v>38.479828629380847</v>
      </c>
      <c r="Y138" s="314" t="str">
        <f t="shared" ca="1" si="80"/>
        <v/>
      </c>
      <c r="Z138" s="315" t="str">
        <f t="shared" ca="1" si="81"/>
        <v/>
      </c>
      <c r="AA138" s="316" t="str">
        <f t="shared" ca="1" si="82"/>
        <v/>
      </c>
      <c r="AC138" s="310" t="e">
        <f t="shared" ca="1" si="83"/>
        <v>#N/A</v>
      </c>
      <c r="AD138" s="323" t="e">
        <f t="shared" ca="1" si="84"/>
        <v>#N/A</v>
      </c>
      <c r="AE138" s="324">
        <f t="shared" ca="1" si="63"/>
        <v>74.777463912846187</v>
      </c>
      <c r="AG138" s="306">
        <f t="shared" ca="1" si="85"/>
        <v>71.18314659683233</v>
      </c>
      <c r="AH138" s="304">
        <f t="shared" ca="1" si="86"/>
        <v>80.941441977848612</v>
      </c>
    </row>
    <row r="139" spans="1:34" x14ac:dyDescent="0.2">
      <c r="A139" s="347">
        <f t="shared" ca="1" si="64"/>
        <v>0.01</v>
      </c>
      <c r="B139" s="304">
        <f t="shared" ca="1" si="65"/>
        <v>1.350000000000001</v>
      </c>
      <c r="D139" s="306">
        <f t="shared" ca="1" si="66"/>
        <v>8.283407667076391</v>
      </c>
      <c r="E139" s="307">
        <f t="shared" ca="1" si="67"/>
        <v>70.477982127307953</v>
      </c>
      <c r="F139" s="304">
        <f t="shared" ca="1" si="68"/>
        <v>70.963094685308917</v>
      </c>
      <c r="G139" s="306">
        <f t="shared" ca="1" si="69"/>
        <v>11.31139697020598</v>
      </c>
      <c r="H139" s="307">
        <f t="shared" ca="1" si="70"/>
        <v>109.53905348556779</v>
      </c>
      <c r="I139" s="304">
        <f t="shared" ca="1" si="71"/>
        <v>110.12153258982399</v>
      </c>
      <c r="J139" s="306">
        <f t="shared" ca="1" si="72"/>
        <v>7.4218934271241155</v>
      </c>
      <c r="K139" s="307">
        <f t="shared" ca="1" si="73"/>
        <v>75.869330548595499</v>
      </c>
      <c r="L139" s="304">
        <f t="shared" ca="1" si="58"/>
        <v>76.231488375445181</v>
      </c>
      <c r="M139" s="306">
        <f t="shared" ca="1" si="74"/>
        <v>1.4678974424954707</v>
      </c>
      <c r="N139" s="304">
        <f t="shared" ca="1" si="75"/>
        <v>84.104328213037931</v>
      </c>
      <c r="P139" s="310">
        <f t="shared" ca="1" si="76"/>
        <v>4</v>
      </c>
      <c r="Q139" s="304">
        <f t="shared" ca="1" si="77"/>
        <v>683.79999999999984</v>
      </c>
      <c r="R139" s="306">
        <f t="shared" ca="1" si="78"/>
        <v>0.34316736058143082</v>
      </c>
      <c r="S139" s="307">
        <f t="shared" ca="1" si="79"/>
        <v>7.9951300543634023</v>
      </c>
      <c r="T139" s="304">
        <f t="shared" ca="1" si="59"/>
        <v>78.432225833304983</v>
      </c>
      <c r="U139" s="311">
        <f t="shared" ca="1" si="60"/>
        <v>0</v>
      </c>
      <c r="V139" s="306">
        <f t="shared" ca="1" si="61"/>
        <v>1.215741130220388</v>
      </c>
      <c r="W139" s="304">
        <f t="shared" ca="1" si="62"/>
        <v>38.976290828160458</v>
      </c>
      <c r="Y139" s="314" t="str">
        <f t="shared" ca="1" si="80"/>
        <v/>
      </c>
      <c r="Z139" s="315" t="str">
        <f t="shared" ca="1" si="81"/>
        <v/>
      </c>
      <c r="AA139" s="316" t="str">
        <f t="shared" ca="1" si="82"/>
        <v/>
      </c>
      <c r="AC139" s="310" t="e">
        <f t="shared" ca="1" si="83"/>
        <v>#N/A</v>
      </c>
      <c r="AD139" s="323" t="e">
        <f t="shared" ca="1" si="84"/>
        <v>#N/A</v>
      </c>
      <c r="AE139" s="324">
        <f t="shared" ca="1" si="63"/>
        <v>75.869330548595499</v>
      </c>
      <c r="AG139" s="306">
        <f t="shared" ca="1" si="85"/>
        <v>70.955952748833951</v>
      </c>
      <c r="AH139" s="304">
        <f t="shared" ca="1" si="86"/>
        <v>80.714155615071022</v>
      </c>
    </row>
    <row r="140" spans="1:34" x14ac:dyDescent="0.2">
      <c r="A140" s="347">
        <f t="shared" ca="1" si="64"/>
        <v>0.01</v>
      </c>
      <c r="B140" s="304">
        <f t="shared" ca="1" si="65"/>
        <v>1.360000000000001</v>
      </c>
      <c r="D140" s="306">
        <f t="shared" ca="1" si="66"/>
        <v>8.267353737602301</v>
      </c>
      <c r="E140" s="307">
        <f t="shared" ca="1" si="67"/>
        <v>70.250677353350483</v>
      </c>
      <c r="F140" s="304">
        <f t="shared" ca="1" si="68"/>
        <v>70.735470638338128</v>
      </c>
      <c r="G140" s="306">
        <f t="shared" ca="1" si="69"/>
        <v>11.394070507582002</v>
      </c>
      <c r="H140" s="307">
        <f t="shared" ca="1" si="70"/>
        <v>110.24156025910129</v>
      </c>
      <c r="I140" s="304">
        <f t="shared" ca="1" si="71"/>
        <v>110.82881597803349</v>
      </c>
      <c r="J140" s="306">
        <f t="shared" ca="1" si="72"/>
        <v>7.5354207645130558</v>
      </c>
      <c r="K140" s="307">
        <f t="shared" ca="1" si="73"/>
        <v>76.968233617318845</v>
      </c>
      <c r="L140" s="304">
        <f t="shared" ca="1" si="58"/>
        <v>77.336224062650132</v>
      </c>
      <c r="M140" s="306">
        <f t="shared" ca="1" si="74"/>
        <v>1.4678065223102947</v>
      </c>
      <c r="N140" s="304">
        <f t="shared" ca="1" si="75"/>
        <v>84.099118870154797</v>
      </c>
      <c r="P140" s="310">
        <f t="shared" ca="1" si="76"/>
        <v>4</v>
      </c>
      <c r="Q140" s="304">
        <f t="shared" ca="1" si="77"/>
        <v>682.19999999999982</v>
      </c>
      <c r="R140" s="306">
        <f t="shared" ca="1" si="78"/>
        <v>0.34236439512818384</v>
      </c>
      <c r="S140" s="307">
        <f t="shared" ca="1" si="79"/>
        <v>7.99170641041212</v>
      </c>
      <c r="T140" s="304">
        <f t="shared" ca="1" si="59"/>
        <v>78.398639886142902</v>
      </c>
      <c r="U140" s="311">
        <f t="shared" ca="1" si="60"/>
        <v>0</v>
      </c>
      <c r="V140" s="306">
        <f t="shared" ca="1" si="61"/>
        <v>1.2156075374444895</v>
      </c>
      <c r="W140" s="304">
        <f t="shared" ca="1" si="62"/>
        <v>39.474230698166728</v>
      </c>
      <c r="Y140" s="314" t="str">
        <f t="shared" ca="1" si="80"/>
        <v/>
      </c>
      <c r="Z140" s="315" t="str">
        <f t="shared" ca="1" si="81"/>
        <v/>
      </c>
      <c r="AA140" s="316" t="str">
        <f t="shared" ca="1" si="82"/>
        <v/>
      </c>
      <c r="AC140" s="310" t="e">
        <f t="shared" ca="1" si="83"/>
        <v>#N/A</v>
      </c>
      <c r="AD140" s="323" t="e">
        <f t="shared" ca="1" si="84"/>
        <v>#N/A</v>
      </c>
      <c r="AE140" s="324">
        <f t="shared" ca="1" si="63"/>
        <v>76.968233617318845</v>
      </c>
      <c r="AG140" s="306">
        <f t="shared" ca="1" si="85"/>
        <v>70.728293012740835</v>
      </c>
      <c r="AH140" s="304">
        <f t="shared" ca="1" si="86"/>
        <v>80.486403796541524</v>
      </c>
    </row>
    <row r="141" spans="1:34" x14ac:dyDescent="0.2">
      <c r="A141" s="347">
        <f t="shared" ca="1" si="64"/>
        <v>0.01</v>
      </c>
      <c r="B141" s="304">
        <f t="shared" ca="1" si="65"/>
        <v>1.370000000000001</v>
      </c>
      <c r="D141" s="306">
        <f t="shared" ca="1" si="66"/>
        <v>8.2511707823447527</v>
      </c>
      <c r="E141" s="307">
        <f t="shared" ca="1" si="67"/>
        <v>70.02292190483648</v>
      </c>
      <c r="F141" s="304">
        <f t="shared" ca="1" si="68"/>
        <v>70.507385509393615</v>
      </c>
      <c r="G141" s="306">
        <f t="shared" ca="1" si="69"/>
        <v>11.47658221540545</v>
      </c>
      <c r="H141" s="307">
        <f t="shared" ca="1" si="70"/>
        <v>110.94178947814966</v>
      </c>
      <c r="I141" s="304">
        <f t="shared" ca="1" si="71"/>
        <v>111.53381815378258</v>
      </c>
      <c r="J141" s="306">
        <f t="shared" ca="1" si="72"/>
        <v>7.6497740281279931</v>
      </c>
      <c r="K141" s="307">
        <f t="shared" ca="1" si="73"/>
        <v>78.074150366005099</v>
      </c>
      <c r="L141" s="304">
        <f t="shared" ca="1" si="58"/>
        <v>78.44802099514682</v>
      </c>
      <c r="M141" s="306">
        <f t="shared" ca="1" si="74"/>
        <v>1.4677160972832572</v>
      </c>
      <c r="N141" s="304">
        <f t="shared" ca="1" si="75"/>
        <v>84.093937897743189</v>
      </c>
      <c r="P141" s="310">
        <f t="shared" ca="1" si="76"/>
        <v>4</v>
      </c>
      <c r="Q141" s="304">
        <f t="shared" ca="1" si="77"/>
        <v>680.5999999999998</v>
      </c>
      <c r="R141" s="306">
        <f t="shared" ca="1" si="78"/>
        <v>0.34156142967493686</v>
      </c>
      <c r="S141" s="307">
        <f t="shared" ca="1" si="79"/>
        <v>7.9882907961153711</v>
      </c>
      <c r="T141" s="304">
        <f t="shared" ca="1" si="59"/>
        <v>78.365132709891796</v>
      </c>
      <c r="U141" s="311">
        <f t="shared" ca="1" si="60"/>
        <v>0</v>
      </c>
      <c r="V141" s="306">
        <f t="shared" ca="1" si="61"/>
        <v>1.2154731067848343</v>
      </c>
      <c r="W141" s="304">
        <f t="shared" ca="1" si="62"/>
        <v>39.973612413440399</v>
      </c>
      <c r="Y141" s="314" t="str">
        <f t="shared" ca="1" si="80"/>
        <v/>
      </c>
      <c r="Z141" s="315" t="str">
        <f t="shared" ca="1" si="81"/>
        <v/>
      </c>
      <c r="AA141" s="316" t="str">
        <f t="shared" ca="1" si="82"/>
        <v/>
      </c>
      <c r="AC141" s="310" t="e">
        <f t="shared" ca="1" si="83"/>
        <v>#N/A</v>
      </c>
      <c r="AD141" s="323" t="e">
        <f t="shared" ca="1" si="84"/>
        <v>#N/A</v>
      </c>
      <c r="AE141" s="324">
        <f t="shared" ca="1" si="63"/>
        <v>78.074150366005099</v>
      </c>
      <c r="AG141" s="306">
        <f t="shared" ca="1" si="85"/>
        <v>70.500171976060415</v>
      </c>
      <c r="AH141" s="304">
        <f t="shared" ca="1" si="86"/>
        <v>80.258191103108857</v>
      </c>
    </row>
    <row r="142" spans="1:34" x14ac:dyDescent="0.2">
      <c r="A142" s="347">
        <f t="shared" ca="1" si="64"/>
        <v>0.01</v>
      </c>
      <c r="B142" s="304">
        <f t="shared" ca="1" si="65"/>
        <v>1.380000000000001</v>
      </c>
      <c r="D142" s="306">
        <f t="shared" ca="1" si="66"/>
        <v>8.2348601119946423</v>
      </c>
      <c r="E142" s="307">
        <f t="shared" ca="1" si="67"/>
        <v>69.794720271212313</v>
      </c>
      <c r="F142" s="304">
        <f t="shared" ca="1" si="68"/>
        <v>70.278843892034075</v>
      </c>
      <c r="G142" s="306">
        <f t="shared" ca="1" si="69"/>
        <v>11.558930816525397</v>
      </c>
      <c r="H142" s="307">
        <f t="shared" ca="1" si="70"/>
        <v>111.63973668086179</v>
      </c>
      <c r="I142" s="304">
        <f t="shared" ca="1" si="71"/>
        <v>112.23653455000016</v>
      </c>
      <c r="J142" s="306">
        <f t="shared" ca="1" si="72"/>
        <v>7.7649515932876474</v>
      </c>
      <c r="K142" s="307">
        <f t="shared" ca="1" si="73"/>
        <v>79.187057996800164</v>
      </c>
      <c r="L142" s="304">
        <f t="shared" ca="1" si="58"/>
        <v>79.566856337514636</v>
      </c>
      <c r="M142" s="306">
        <f t="shared" ca="1" si="74"/>
        <v>1.4676261597935383</v>
      </c>
      <c r="N142" s="304">
        <f t="shared" ca="1" si="75"/>
        <v>84.088784859162288</v>
      </c>
      <c r="P142" s="310">
        <f t="shared" ca="1" si="76"/>
        <v>4</v>
      </c>
      <c r="Q142" s="304">
        <f t="shared" ca="1" si="77"/>
        <v>678.99999999999977</v>
      </c>
      <c r="R142" s="306">
        <f t="shared" ca="1" si="78"/>
        <v>0.34075846422168982</v>
      </c>
      <c r="S142" s="307">
        <f t="shared" ca="1" si="79"/>
        <v>7.9848832114731545</v>
      </c>
      <c r="T142" s="304">
        <f t="shared" ca="1" si="59"/>
        <v>78.33170430455165</v>
      </c>
      <c r="U142" s="311">
        <f t="shared" ca="1" si="60"/>
        <v>0</v>
      </c>
      <c r="V142" s="306">
        <f t="shared" ca="1" si="61"/>
        <v>1.215337841291493</v>
      </c>
      <c r="W142" s="304">
        <f t="shared" ca="1" si="62"/>
        <v>40.47440021157287</v>
      </c>
      <c r="Y142" s="314" t="str">
        <f t="shared" ca="1" si="80"/>
        <v/>
      </c>
      <c r="Z142" s="315" t="str">
        <f t="shared" ca="1" si="81"/>
        <v/>
      </c>
      <c r="AA142" s="316" t="str">
        <f t="shared" ca="1" si="82"/>
        <v/>
      </c>
      <c r="AC142" s="310" t="e">
        <f t="shared" ca="1" si="83"/>
        <v>#N/A</v>
      </c>
      <c r="AD142" s="323" t="e">
        <f t="shared" ca="1" si="84"/>
        <v>#N/A</v>
      </c>
      <c r="AE142" s="324">
        <f t="shared" ca="1" si="63"/>
        <v>79.187057996800164</v>
      </c>
      <c r="AG142" s="306">
        <f t="shared" ca="1" si="85"/>
        <v>70.271594229082197</v>
      </c>
      <c r="AH142" s="304">
        <f t="shared" ca="1" si="86"/>
        <v>80.029522118541237</v>
      </c>
    </row>
    <row r="143" spans="1:34" x14ac:dyDescent="0.2">
      <c r="A143" s="347">
        <f t="shared" ca="1" si="64"/>
        <v>0.01</v>
      </c>
      <c r="B143" s="304">
        <f t="shared" ca="1" si="65"/>
        <v>1.390000000000001</v>
      </c>
      <c r="D143" s="306">
        <f t="shared" ca="1" si="66"/>
        <v>8.2184230201848436</v>
      </c>
      <c r="E143" s="307">
        <f t="shared" ca="1" si="67"/>
        <v>69.566076945944545</v>
      </c>
      <c r="F143" s="304">
        <f t="shared" ca="1" si="68"/>
        <v>70.049850382336871</v>
      </c>
      <c r="G143" s="306">
        <f t="shared" ca="1" si="69"/>
        <v>11.641115046727245</v>
      </c>
      <c r="H143" s="307">
        <f t="shared" ca="1" si="70"/>
        <v>112.33539745032124</v>
      </c>
      <c r="I143" s="304">
        <f t="shared" ca="1" si="71"/>
        <v>112.93696064554233</v>
      </c>
      <c r="J143" s="306">
        <f t="shared" ca="1" si="72"/>
        <v>7.8809518226039108</v>
      </c>
      <c r="K143" s="307">
        <f t="shared" ca="1" si="73"/>
        <v>80.306933667456079</v>
      </c>
      <c r="L143" s="304">
        <f t="shared" ca="1" si="58"/>
        <v>80.692707208888436</v>
      </c>
      <c r="M143" s="306">
        <f t="shared" ca="1" si="74"/>
        <v>1.4675367023819974</v>
      </c>
      <c r="N143" s="304">
        <f t="shared" ca="1" si="75"/>
        <v>84.083659327034837</v>
      </c>
      <c r="P143" s="310">
        <f t="shared" ca="1" si="76"/>
        <v>4</v>
      </c>
      <c r="Q143" s="304">
        <f t="shared" ca="1" si="77"/>
        <v>677.39999999999986</v>
      </c>
      <c r="R143" s="306">
        <f t="shared" ca="1" si="78"/>
        <v>0.33995549876844289</v>
      </c>
      <c r="S143" s="307">
        <f t="shared" ca="1" si="79"/>
        <v>7.9814836564854703</v>
      </c>
      <c r="T143" s="304">
        <f t="shared" ca="1" si="59"/>
        <v>78.298354670122464</v>
      </c>
      <c r="U143" s="311">
        <f t="shared" ca="1" si="60"/>
        <v>0</v>
      </c>
      <c r="V143" s="306">
        <f t="shared" ca="1" si="61"/>
        <v>1.2152017440203873</v>
      </c>
      <c r="W143" s="304">
        <f t="shared" ca="1" si="62"/>
        <v>40.97655839569137</v>
      </c>
      <c r="Y143" s="314" t="str">
        <f t="shared" ca="1" si="80"/>
        <v/>
      </c>
      <c r="Z143" s="315" t="str">
        <f t="shared" ca="1" si="81"/>
        <v/>
      </c>
      <c r="AA143" s="316" t="str">
        <f t="shared" ca="1" si="82"/>
        <v/>
      </c>
      <c r="AC143" s="310" t="e">
        <f t="shared" ca="1" si="83"/>
        <v>#N/A</v>
      </c>
      <c r="AD143" s="323" t="e">
        <f t="shared" ca="1" si="84"/>
        <v>#N/A</v>
      </c>
      <c r="AE143" s="324">
        <f t="shared" ca="1" si="63"/>
        <v>80.306933667456079</v>
      </c>
      <c r="AG143" s="306">
        <f t="shared" ca="1" si="85"/>
        <v>70.042564364591428</v>
      </c>
      <c r="AH143" s="304">
        <f t="shared" ca="1" si="86"/>
        <v>79.800401429236018</v>
      </c>
    </row>
    <row r="144" spans="1:34" x14ac:dyDescent="0.2">
      <c r="A144" s="347">
        <f t="shared" ca="1" si="64"/>
        <v>0.01</v>
      </c>
      <c r="B144" s="304">
        <f t="shared" ca="1" si="65"/>
        <v>1.400000000000001</v>
      </c>
      <c r="D144" s="306">
        <f t="shared" ca="1" si="66"/>
        <v>8.2018607839764552</v>
      </c>
      <c r="E144" s="307">
        <f t="shared" ca="1" si="67"/>
        <v>69.336996426190822</v>
      </c>
      <c r="F144" s="304">
        <f t="shared" ca="1" si="68"/>
        <v>69.820409578613408</v>
      </c>
      <c r="G144" s="306">
        <f t="shared" ca="1" si="69"/>
        <v>11.723133654567009</v>
      </c>
      <c r="H144" s="307">
        <f t="shared" ca="1" si="70"/>
        <v>113.02876741458314</v>
      </c>
      <c r="I144" s="304">
        <f t="shared" ca="1" si="71"/>
        <v>113.63509196521457</v>
      </c>
      <c r="J144" s="306">
        <f t="shared" ca="1" si="72"/>
        <v>7.9977730661103816</v>
      </c>
      <c r="K144" s="307">
        <f t="shared" ca="1" si="73"/>
        <v>81.433754491780604</v>
      </c>
      <c r="L144" s="304">
        <f t="shared" ca="1" si="58"/>
        <v>81.825550683417944</v>
      </c>
      <c r="M144" s="306">
        <f t="shared" ca="1" si="74"/>
        <v>1.4674477177465328</v>
      </c>
      <c r="N144" s="304">
        <f t="shared" ca="1" si="75"/>
        <v>84.078560882981208</v>
      </c>
      <c r="P144" s="310">
        <f t="shared" ca="1" si="76"/>
        <v>4</v>
      </c>
      <c r="Q144" s="304">
        <f t="shared" ca="1" si="77"/>
        <v>675.79999999999984</v>
      </c>
      <c r="R144" s="306">
        <f t="shared" ca="1" si="78"/>
        <v>0.3391525333151959</v>
      </c>
      <c r="S144" s="307">
        <f t="shared" ca="1" si="79"/>
        <v>7.9780921311523185</v>
      </c>
      <c r="T144" s="304">
        <f t="shared" ca="1" si="59"/>
        <v>78.265083806604252</v>
      </c>
      <c r="U144" s="311">
        <f t="shared" ca="1" si="60"/>
        <v>0</v>
      </c>
      <c r="V144" s="306">
        <f t="shared" ca="1" si="61"/>
        <v>1.2150648180332129</v>
      </c>
      <c r="W144" s="304">
        <f t="shared" ca="1" si="62"/>
        <v>41.48005133643067</v>
      </c>
      <c r="Y144" s="314" t="str">
        <f t="shared" ca="1" si="80"/>
        <v/>
      </c>
      <c r="Z144" s="315" t="str">
        <f t="shared" ca="1" si="81"/>
        <v/>
      </c>
      <c r="AA144" s="316" t="str">
        <f t="shared" ca="1" si="82"/>
        <v/>
      </c>
      <c r="AC144" s="310" t="e">
        <f t="shared" ca="1" si="83"/>
        <v>#N/A</v>
      </c>
      <c r="AD144" s="323" t="e">
        <f t="shared" ca="1" si="84"/>
        <v>#N/A</v>
      </c>
      <c r="AE144" s="324">
        <f t="shared" ca="1" si="63"/>
        <v>81.433754491780604</v>
      </c>
      <c r="AG144" s="306">
        <f t="shared" ca="1" si="85"/>
        <v>69.813086977583396</v>
      </c>
      <c r="AH144" s="304">
        <f t="shared" ca="1" si="86"/>
        <v>79.570833623930284</v>
      </c>
    </row>
    <row r="145" spans="1:34" x14ac:dyDescent="0.2">
      <c r="A145" s="347">
        <f t="shared" ca="1" si="64"/>
        <v>0.01</v>
      </c>
      <c r="B145" s="304">
        <f t="shared" ca="1" si="65"/>
        <v>1.410000000000001</v>
      </c>
      <c r="D145" s="306">
        <f t="shared" ca="1" si="66"/>
        <v>8.1851746643262544</v>
      </c>
      <c r="E145" s="307">
        <f t="shared" ca="1" si="67"/>
        <v>69.107483212473113</v>
      </c>
      <c r="F145" s="304">
        <f t="shared" ca="1" si="68"/>
        <v>69.590526081125304</v>
      </c>
      <c r="G145" s="306">
        <f t="shared" ca="1" si="69"/>
        <v>11.804985401210272</v>
      </c>
      <c r="H145" s="307">
        <f t="shared" ca="1" si="70"/>
        <v>113.71984224670787</v>
      </c>
      <c r="I145" s="304">
        <f t="shared" ca="1" si="71"/>
        <v>114.3309240797909</v>
      </c>
      <c r="J145" s="306">
        <f t="shared" ca="1" si="72"/>
        <v>8.1154136613892689</v>
      </c>
      <c r="K145" s="307">
        <f t="shared" ca="1" si="73"/>
        <v>82.567497540087061</v>
      </c>
      <c r="L145" s="304">
        <f t="shared" ca="1" si="58"/>
        <v>82.965363790727437</v>
      </c>
      <c r="M145" s="306">
        <f t="shared" ca="1" si="74"/>
        <v>1.4673591987376025</v>
      </c>
      <c r="N145" s="304">
        <f t="shared" ca="1" si="75"/>
        <v>84.073489117362811</v>
      </c>
      <c r="P145" s="310">
        <f t="shared" ca="1" si="76"/>
        <v>4</v>
      </c>
      <c r="Q145" s="304">
        <f t="shared" ca="1" si="77"/>
        <v>674.19999999999982</v>
      </c>
      <c r="R145" s="306">
        <f t="shared" ca="1" si="78"/>
        <v>0.33834956786194892</v>
      </c>
      <c r="S145" s="307">
        <f t="shared" ca="1" si="79"/>
        <v>7.9747086354736991</v>
      </c>
      <c r="T145" s="304">
        <f t="shared" ca="1" si="59"/>
        <v>78.231891713996987</v>
      </c>
      <c r="U145" s="311">
        <f t="shared" ca="1" si="60"/>
        <v>0</v>
      </c>
      <c r="V145" s="306">
        <f t="shared" ca="1" si="61"/>
        <v>1.2149270663973621</v>
      </c>
      <c r="W145" s="304">
        <f t="shared" ca="1" si="62"/>
        <v>41.98484347389067</v>
      </c>
      <c r="Y145" s="314" t="str">
        <f t="shared" ca="1" si="80"/>
        <v/>
      </c>
      <c r="Z145" s="315" t="str">
        <f t="shared" ca="1" si="81"/>
        <v/>
      </c>
      <c r="AA145" s="316" t="str">
        <f t="shared" ca="1" si="82"/>
        <v/>
      </c>
      <c r="AC145" s="310" t="e">
        <f t="shared" ca="1" si="83"/>
        <v>#N/A</v>
      </c>
      <c r="AD145" s="323" t="e">
        <f t="shared" ca="1" si="84"/>
        <v>#N/A</v>
      </c>
      <c r="AE145" s="324">
        <f t="shared" ca="1" si="63"/>
        <v>82.567497540087061</v>
      </c>
      <c r="AG145" s="306">
        <f t="shared" ca="1" si="85"/>
        <v>69.583166664978663</v>
      </c>
      <c r="AH145" s="304">
        <f t="shared" ca="1" si="86"/>
        <v>79.34082329341247</v>
      </c>
    </row>
    <row r="146" spans="1:34" x14ac:dyDescent="0.2">
      <c r="A146" s="347">
        <f t="shared" ca="1" si="64"/>
        <v>0.01</v>
      </c>
      <c r="B146" s="304">
        <f t="shared" ca="1" si="65"/>
        <v>1.420000000000001</v>
      </c>
      <c r="D146" s="306">
        <f t="shared" ca="1" si="66"/>
        <v>8.1683659065366356</v>
      </c>
      <c r="E146" s="307">
        <f t="shared" ca="1" si="67"/>
        <v>68.877541808353172</v>
      </c>
      <c r="F146" s="304">
        <f t="shared" ca="1" si="68"/>
        <v>69.360204491801412</v>
      </c>
      <c r="G146" s="306">
        <f t="shared" ca="1" si="69"/>
        <v>11.886669060275638</v>
      </c>
      <c r="H146" s="307">
        <f t="shared" ca="1" si="70"/>
        <v>114.40861766479141</v>
      </c>
      <c r="I146" s="304">
        <f t="shared" ca="1" si="71"/>
        <v>115.02445260603041</v>
      </c>
      <c r="J146" s="306">
        <f t="shared" ca="1" si="72"/>
        <v>8.2338719336966992</v>
      </c>
      <c r="K146" s="307">
        <f t="shared" ca="1" si="73"/>
        <v>83.708139839644559</v>
      </c>
      <c r="L146" s="304">
        <f t="shared" ca="1" si="58"/>
        <v>84.11212351637549</v>
      </c>
      <c r="M146" s="306">
        <f t="shared" ca="1" si="74"/>
        <v>1.4672711383539077</v>
      </c>
      <c r="N146" s="304">
        <f t="shared" ca="1" si="75"/>
        <v>84.068443629034803</v>
      </c>
      <c r="P146" s="310">
        <f t="shared" ca="1" si="76"/>
        <v>4</v>
      </c>
      <c r="Q146" s="304">
        <f t="shared" ca="1" si="77"/>
        <v>672.5999999999998</v>
      </c>
      <c r="R146" s="306">
        <f t="shared" ca="1" si="78"/>
        <v>0.33754660240870188</v>
      </c>
      <c r="S146" s="307">
        <f t="shared" ca="1" si="79"/>
        <v>7.9713331694496121</v>
      </c>
      <c r="T146" s="304">
        <f t="shared" ca="1" si="59"/>
        <v>78.198778392300696</v>
      </c>
      <c r="U146" s="311">
        <f t="shared" ca="1" si="60"/>
        <v>0</v>
      </c>
      <c r="V146" s="306">
        <f t="shared" ca="1" si="61"/>
        <v>1.2147884921858478</v>
      </c>
      <c r="W146" s="304">
        <f t="shared" ca="1" si="62"/>
        <v>42.490899319580393</v>
      </c>
      <c r="Y146" s="314" t="str">
        <f t="shared" ca="1" si="80"/>
        <v/>
      </c>
      <c r="Z146" s="315" t="str">
        <f t="shared" ca="1" si="81"/>
        <v/>
      </c>
      <c r="AA146" s="316" t="str">
        <f t="shared" ca="1" si="82"/>
        <v/>
      </c>
      <c r="AC146" s="310" t="e">
        <f t="shared" ca="1" si="83"/>
        <v>#N/A</v>
      </c>
      <c r="AD146" s="323" t="e">
        <f t="shared" ca="1" si="84"/>
        <v>#N/A</v>
      </c>
      <c r="AE146" s="324">
        <f t="shared" ca="1" si="63"/>
        <v>83.708139839644559</v>
      </c>
      <c r="AG146" s="306">
        <f t="shared" ca="1" si="85"/>
        <v>69.352808025339101</v>
      </c>
      <c r="AH146" s="304">
        <f t="shared" ca="1" si="86"/>
        <v>79.110375030234806</v>
      </c>
    </row>
    <row r="147" spans="1:34" x14ac:dyDescent="0.2">
      <c r="A147" s="347">
        <f t="shared" ca="1" si="64"/>
        <v>0.01</v>
      </c>
      <c r="B147" s="304">
        <f t="shared" ca="1" si="65"/>
        <v>1.430000000000001</v>
      </c>
      <c r="D147" s="306">
        <f t="shared" ca="1" si="66"/>
        <v>8.1514357406882532</v>
      </c>
      <c r="E147" s="307">
        <f t="shared" ca="1" si="67"/>
        <v>68.647176720110664</v>
      </c>
      <c r="F147" s="304">
        <f t="shared" ca="1" si="68"/>
        <v>69.129449413955797</v>
      </c>
      <c r="G147" s="306">
        <f t="shared" ca="1" si="69"/>
        <v>11.968183417682521</v>
      </c>
      <c r="H147" s="307">
        <f t="shared" ca="1" si="70"/>
        <v>115.09508943199252</v>
      </c>
      <c r="I147" s="304">
        <f t="shared" ca="1" si="71"/>
        <v>115.71567320669074</v>
      </c>
      <c r="J147" s="306">
        <f t="shared" ca="1" si="72"/>
        <v>8.3531461960864899</v>
      </c>
      <c r="K147" s="307">
        <f t="shared" ca="1" si="73"/>
        <v>84.855658375128485</v>
      </c>
      <c r="L147" s="304">
        <f t="shared" ca="1" si="58"/>
        <v>85.265806802314998</v>
      </c>
      <c r="M147" s="306">
        <f t="shared" ca="1" si="74"/>
        <v>1.4671835297382261</v>
      </c>
      <c r="N147" s="304">
        <f t="shared" ca="1" si="75"/>
        <v>84.063424025107267</v>
      </c>
      <c r="P147" s="310">
        <f t="shared" ca="1" si="76"/>
        <v>4</v>
      </c>
      <c r="Q147" s="304">
        <f t="shared" ca="1" si="77"/>
        <v>670.99999999999977</v>
      </c>
      <c r="R147" s="306">
        <f t="shared" ca="1" si="78"/>
        <v>0.33674363695545489</v>
      </c>
      <c r="S147" s="307">
        <f t="shared" ca="1" si="79"/>
        <v>7.9679657330800575</v>
      </c>
      <c r="T147" s="304">
        <f t="shared" ca="1" si="59"/>
        <v>78.165743841515365</v>
      </c>
      <c r="U147" s="311">
        <f t="shared" ca="1" si="60"/>
        <v>0</v>
      </c>
      <c r="V147" s="306">
        <f t="shared" ca="1" si="61"/>
        <v>1.2146490984772216</v>
      </c>
      <c r="W147" s="304">
        <f t="shared" ca="1" si="62"/>
        <v>42.998183458347313</v>
      </c>
      <c r="Y147" s="314" t="str">
        <f t="shared" ca="1" si="80"/>
        <v/>
      </c>
      <c r="Z147" s="315" t="str">
        <f t="shared" ca="1" si="81"/>
        <v/>
      </c>
      <c r="AA147" s="316" t="str">
        <f t="shared" ca="1" si="82"/>
        <v/>
      </c>
      <c r="AC147" s="310" t="e">
        <f t="shared" ca="1" si="83"/>
        <v>#N/A</v>
      </c>
      <c r="AD147" s="323" t="e">
        <f t="shared" ca="1" si="84"/>
        <v>#N/A</v>
      </c>
      <c r="AE147" s="324">
        <f t="shared" ca="1" si="63"/>
        <v>84.855658375128485</v>
      </c>
      <c r="AG147" s="306">
        <f t="shared" ca="1" si="85"/>
        <v>69.122015658584772</v>
      </c>
      <c r="AH147" s="304">
        <f t="shared" ca="1" si="86"/>
        <v>78.879493428426926</v>
      </c>
    </row>
    <row r="148" spans="1:34" x14ac:dyDescent="0.2">
      <c r="A148" s="347">
        <f t="shared" ca="1" si="64"/>
        <v>0.01</v>
      </c>
      <c r="B148" s="304">
        <f t="shared" ca="1" si="65"/>
        <v>1.4400000000000011</v>
      </c>
      <c r="D148" s="306">
        <f t="shared" ca="1" si="66"/>
        <v>8.1343853820565322</v>
      </c>
      <c r="E148" s="307">
        <f t="shared" ca="1" si="67"/>
        <v>68.416392456423296</v>
      </c>
      <c r="F148" s="304">
        <f t="shared" ca="1" si="68"/>
        <v>68.898265452006484</v>
      </c>
      <c r="G148" s="306">
        <f t="shared" ca="1" si="69"/>
        <v>12.049527271503086</v>
      </c>
      <c r="H148" s="307">
        <f t="shared" ca="1" si="70"/>
        <v>115.77925335655675</v>
      </c>
      <c r="I148" s="304">
        <f t="shared" ca="1" si="71"/>
        <v>116.40458159053901</v>
      </c>
      <c r="J148" s="306">
        <f t="shared" ca="1" si="72"/>
        <v>8.4732347495324181</v>
      </c>
      <c r="K148" s="307">
        <f t="shared" ca="1" si="73"/>
        <v>86.010030089071236</v>
      </c>
      <c r="L148" s="304">
        <f t="shared" ca="1" si="58"/>
        <v>86.426390547353208</v>
      </c>
      <c r="M148" s="306">
        <f t="shared" ca="1" si="74"/>
        <v>1.4670963661733916</v>
      </c>
      <c r="N148" s="304">
        <f t="shared" ca="1" si="75"/>
        <v>84.058429920714929</v>
      </c>
      <c r="P148" s="310">
        <f t="shared" ca="1" si="76"/>
        <v>4</v>
      </c>
      <c r="Q148" s="304">
        <f t="shared" ca="1" si="77"/>
        <v>669.39999999999986</v>
      </c>
      <c r="R148" s="306">
        <f t="shared" ca="1" si="78"/>
        <v>0.33594067150220797</v>
      </c>
      <c r="S148" s="307">
        <f t="shared" ca="1" si="79"/>
        <v>7.9646063263650353</v>
      </c>
      <c r="T148" s="304">
        <f t="shared" ca="1" si="59"/>
        <v>78.132788061640994</v>
      </c>
      <c r="U148" s="311">
        <f t="shared" ca="1" si="60"/>
        <v>0</v>
      </c>
      <c r="V148" s="306">
        <f t="shared" ca="1" si="61"/>
        <v>1.2145088883554995</v>
      </c>
      <c r="W148" s="304">
        <f t="shared" ca="1" si="62"/>
        <v>43.506660550292935</v>
      </c>
      <c r="Y148" s="314" t="str">
        <f t="shared" ca="1" si="80"/>
        <v/>
      </c>
      <c r="Z148" s="315" t="str">
        <f t="shared" ca="1" si="81"/>
        <v/>
      </c>
      <c r="AA148" s="316" t="str">
        <f t="shared" ca="1" si="82"/>
        <v/>
      </c>
      <c r="AC148" s="310" t="e">
        <f t="shared" ca="1" si="83"/>
        <v>#N/A</v>
      </c>
      <c r="AD148" s="323" t="e">
        <f t="shared" ca="1" si="84"/>
        <v>#N/A</v>
      </c>
      <c r="AE148" s="324">
        <f t="shared" ca="1" si="63"/>
        <v>86.010030089071236</v>
      </c>
      <c r="AG148" s="306">
        <f t="shared" ca="1" si="85"/>
        <v>68.89079416571181</v>
      </c>
      <c r="AH148" s="304">
        <f t="shared" ca="1" si="86"/>
        <v>78.648183083210341</v>
      </c>
    </row>
    <row r="149" spans="1:34" x14ac:dyDescent="0.2">
      <c r="A149" s="347">
        <f t="shared" ca="1" si="64"/>
        <v>0.01</v>
      </c>
      <c r="B149" s="304">
        <f t="shared" ca="1" si="65"/>
        <v>1.4500000000000011</v>
      </c>
      <c r="D149" s="306">
        <f t="shared" ca="1" si="66"/>
        <v>8.1172160315125002</v>
      </c>
      <c r="E149" s="307">
        <f t="shared" ca="1" si="67"/>
        <v>68.185193528049155</v>
      </c>
      <c r="F149" s="304">
        <f t="shared" ca="1" si="68"/>
        <v>68.666657211195016</v>
      </c>
      <c r="G149" s="306">
        <f t="shared" ca="1" si="69"/>
        <v>12.130699431818211</v>
      </c>
      <c r="H149" s="307">
        <f t="shared" ca="1" si="70"/>
        <v>116.46110529183724</v>
      </c>
      <c r="I149" s="304">
        <f t="shared" ca="1" si="71"/>
        <v>117.09117351235965</v>
      </c>
      <c r="J149" s="306">
        <f t="shared" ca="1" si="72"/>
        <v>8.5941358830490238</v>
      </c>
      <c r="K149" s="307">
        <f t="shared" ca="1" si="73"/>
        <v>87.171231882313208</v>
      </c>
      <c r="L149" s="304">
        <f t="shared" ca="1" si="58"/>
        <v>87.593851607611867</v>
      </c>
      <c r="M149" s="306">
        <f t="shared" ca="1" si="74"/>
        <v>1.4670096410784146</v>
      </c>
      <c r="N149" s="304">
        <f t="shared" ca="1" si="75"/>
        <v>84.053460938794885</v>
      </c>
      <c r="P149" s="310">
        <f t="shared" ca="1" si="76"/>
        <v>4</v>
      </c>
      <c r="Q149" s="304">
        <f t="shared" ca="1" si="77"/>
        <v>667.79999999999984</v>
      </c>
      <c r="R149" s="306">
        <f t="shared" ca="1" si="78"/>
        <v>0.33513770604896098</v>
      </c>
      <c r="S149" s="307">
        <f t="shared" ca="1" si="79"/>
        <v>7.9612549493045455</v>
      </c>
      <c r="T149" s="304">
        <f t="shared" ca="1" si="59"/>
        <v>78.099911052677598</v>
      </c>
      <c r="U149" s="311">
        <f t="shared" ca="1" si="60"/>
        <v>0</v>
      </c>
      <c r="V149" s="306">
        <f t="shared" ca="1" si="61"/>
        <v>1.2143678649100833</v>
      </c>
      <c r="W149" s="304">
        <f t="shared" ca="1" si="62"/>
        <v>44.016295332673486</v>
      </c>
      <c r="Y149" s="314" t="str">
        <f t="shared" ca="1" si="80"/>
        <v/>
      </c>
      <c r="Z149" s="315" t="str">
        <f t="shared" ca="1" si="81"/>
        <v/>
      </c>
      <c r="AA149" s="316" t="str">
        <f t="shared" ca="1" si="82"/>
        <v/>
      </c>
      <c r="AC149" s="310" t="e">
        <f t="shared" ca="1" si="83"/>
        <v>#N/A</v>
      </c>
      <c r="AD149" s="323" t="e">
        <f t="shared" ca="1" si="84"/>
        <v>#N/A</v>
      </c>
      <c r="AE149" s="324">
        <f t="shared" ca="1" si="63"/>
        <v>87.171231882313208</v>
      </c>
      <c r="AG149" s="306">
        <f t="shared" ca="1" si="85"/>
        <v>68.659148148510951</v>
      </c>
      <c r="AH149" s="304">
        <f t="shared" ca="1" si="86"/>
        <v>78.416448590713955</v>
      </c>
    </row>
    <row r="150" spans="1:34" x14ac:dyDescent="0.2">
      <c r="A150" s="347">
        <f t="shared" ca="1" si="64"/>
        <v>0.01</v>
      </c>
      <c r="B150" s="304">
        <f t="shared" ca="1" si="65"/>
        <v>1.4600000000000011</v>
      </c>
      <c r="D150" s="306">
        <f t="shared" ca="1" si="66"/>
        <v>8.0999288759085726</v>
      </c>
      <c r="E150" s="307">
        <f t="shared" ca="1" si="67"/>
        <v>67.953584447511929</v>
      </c>
      <c r="F150" s="304">
        <f t="shared" ca="1" si="68"/>
        <v>68.434629297307609</v>
      </c>
      <c r="G150" s="306">
        <f t="shared" ca="1" si="69"/>
        <v>12.211698720577298</v>
      </c>
      <c r="H150" s="307">
        <f t="shared" ca="1" si="70"/>
        <v>117.14064113631237</v>
      </c>
      <c r="I150" s="304">
        <f t="shared" ca="1" si="71"/>
        <v>117.77544477295964</v>
      </c>
      <c r="J150" s="306">
        <f t="shared" ca="1" si="72"/>
        <v>8.7158478738110006</v>
      </c>
      <c r="K150" s="307">
        <f t="shared" ca="1" si="73"/>
        <v>88.339240614453956</v>
      </c>
      <c r="L150" s="304">
        <f t="shared" ca="1" si="58"/>
        <v>88.768166796987572</v>
      </c>
      <c r="M150" s="306">
        <f t="shared" ca="1" si="74"/>
        <v>1.4669233480047339</v>
      </c>
      <c r="N150" s="304">
        <f t="shared" ca="1" si="75"/>
        <v>84.048516709871762</v>
      </c>
      <c r="P150" s="310">
        <f t="shared" ca="1" si="76"/>
        <v>4</v>
      </c>
      <c r="Q150" s="304">
        <f t="shared" ca="1" si="77"/>
        <v>666.19999999999982</v>
      </c>
      <c r="R150" s="306">
        <f t="shared" ca="1" si="78"/>
        <v>0.33433474059571394</v>
      </c>
      <c r="S150" s="307">
        <f t="shared" ca="1" si="79"/>
        <v>7.957911601898588</v>
      </c>
      <c r="T150" s="304">
        <f t="shared" ca="1" si="59"/>
        <v>78.067112814625148</v>
      </c>
      <c r="U150" s="311">
        <f t="shared" ca="1" si="60"/>
        <v>0</v>
      </c>
      <c r="V150" s="306">
        <f t="shared" ca="1" si="61"/>
        <v>1.2142260312356816</v>
      </c>
      <c r="W150" s="304">
        <f t="shared" ca="1" si="62"/>
        <v>44.527052621786282</v>
      </c>
      <c r="Y150" s="314" t="str">
        <f t="shared" ca="1" si="80"/>
        <v/>
      </c>
      <c r="Z150" s="315" t="str">
        <f t="shared" ca="1" si="81"/>
        <v/>
      </c>
      <c r="AA150" s="316" t="str">
        <f t="shared" ca="1" si="82"/>
        <v/>
      </c>
      <c r="AC150" s="310" t="e">
        <f t="shared" ca="1" si="83"/>
        <v>#N/A</v>
      </c>
      <c r="AD150" s="323" t="e">
        <f t="shared" ca="1" si="84"/>
        <v>#N/A</v>
      </c>
      <c r="AE150" s="324">
        <f t="shared" ca="1" si="63"/>
        <v>88.339240614453956</v>
      </c>
      <c r="AG150" s="306">
        <f t="shared" ca="1" si="85"/>
        <v>68.427082209287605</v>
      </c>
      <c r="AH150" s="304">
        <f t="shared" ca="1" si="86"/>
        <v>78.184294547690953</v>
      </c>
    </row>
    <row r="151" spans="1:34" x14ac:dyDescent="0.2">
      <c r="A151" s="347">
        <f t="shared" ca="1" si="64"/>
        <v>0.01</v>
      </c>
      <c r="B151" s="304">
        <f t="shared" ca="1" si="65"/>
        <v>1.4700000000000011</v>
      </c>
      <c r="D151" s="306">
        <f t="shared" ca="1" si="66"/>
        <v>8.0825250884501862</v>
      </c>
      <c r="E151" s="307">
        <f t="shared" ca="1" si="67"/>
        <v>67.7215697287876</v>
      </c>
      <c r="F151" s="304">
        <f t="shared" ca="1" si="68"/>
        <v>68.202186316396535</v>
      </c>
      <c r="G151" s="306">
        <f t="shared" ca="1" si="69"/>
        <v>12.292523971461799</v>
      </c>
      <c r="H151" s="307">
        <f t="shared" ca="1" si="70"/>
        <v>117.81785683360025</v>
      </c>
      <c r="I151" s="304">
        <f t="shared" ca="1" si="71"/>
        <v>118.45739121917082</v>
      </c>
      <c r="J151" s="306">
        <f t="shared" ca="1" si="72"/>
        <v>8.8383689872711955</v>
      </c>
      <c r="K151" s="307">
        <f t="shared" ca="1" si="73"/>
        <v>89.514033104303522</v>
      </c>
      <c r="L151" s="304">
        <f t="shared" ca="1" si="58"/>
        <v>89.949312887611896</v>
      </c>
      <c r="M151" s="306">
        <f t="shared" ca="1" si="74"/>
        <v>1.4668374806325981</v>
      </c>
      <c r="N151" s="304">
        <f t="shared" ca="1" si="75"/>
        <v>84.043596871850497</v>
      </c>
      <c r="P151" s="310">
        <f t="shared" ca="1" si="76"/>
        <v>4</v>
      </c>
      <c r="Q151" s="304">
        <f t="shared" ca="1" si="77"/>
        <v>664.5999999999998</v>
      </c>
      <c r="R151" s="306">
        <f t="shared" ca="1" si="78"/>
        <v>0.33353177514246696</v>
      </c>
      <c r="S151" s="307">
        <f t="shared" ca="1" si="79"/>
        <v>7.954576284147163</v>
      </c>
      <c r="T151" s="304">
        <f t="shared" ca="1" si="59"/>
        <v>78.034393347483672</v>
      </c>
      <c r="U151" s="311">
        <f t="shared" ca="1" si="60"/>
        <v>0</v>
      </c>
      <c r="V151" s="306">
        <f t="shared" ca="1" si="61"/>
        <v>1.2140833904322346</v>
      </c>
      <c r="W151" s="304">
        <f t="shared" ca="1" si="62"/>
        <v>45.038897314841265</v>
      </c>
      <c r="Y151" s="314" t="str">
        <f t="shared" ca="1" si="80"/>
        <v/>
      </c>
      <c r="Z151" s="315" t="str">
        <f t="shared" ca="1" si="81"/>
        <v/>
      </c>
      <c r="AA151" s="316" t="str">
        <f t="shared" ca="1" si="82"/>
        <v/>
      </c>
      <c r="AC151" s="310" t="e">
        <f t="shared" ca="1" si="83"/>
        <v>#N/A</v>
      </c>
      <c r="AD151" s="323" t="e">
        <f t="shared" ca="1" si="84"/>
        <v>#N/A</v>
      </c>
      <c r="AE151" s="324">
        <f t="shared" ca="1" si="63"/>
        <v>89.514033104303522</v>
      </c>
      <c r="AG151" s="306">
        <f t="shared" ca="1" si="85"/>
        <v>68.194600950582284</v>
      </c>
      <c r="AH151" s="304">
        <f t="shared" ca="1" si="86"/>
        <v>77.951725551236393</v>
      </c>
    </row>
    <row r="152" spans="1:34" x14ac:dyDescent="0.2">
      <c r="A152" s="347">
        <f t="shared" ca="1" si="64"/>
        <v>0.01</v>
      </c>
      <c r="B152" s="304">
        <f t="shared" ca="1" si="65"/>
        <v>1.4800000000000011</v>
      </c>
      <c r="D152" s="306">
        <f t="shared" ca="1" si="66"/>
        <v>8.0650058290535771</v>
      </c>
      <c r="E152" s="307">
        <f t="shared" ca="1" si="67"/>
        <v>67.489153886993861</v>
      </c>
      <c r="F152" s="304">
        <f t="shared" ca="1" si="68"/>
        <v>67.969332874503095</v>
      </c>
      <c r="G152" s="306">
        <f t="shared" ca="1" si="69"/>
        <v>12.373174029752334</v>
      </c>
      <c r="H152" s="307">
        <f t="shared" ca="1" si="70"/>
        <v>118.49274837247019</v>
      </c>
      <c r="I152" s="304">
        <f t="shared" ca="1" si="71"/>
        <v>119.13700874384951</v>
      </c>
      <c r="J152" s="306">
        <f t="shared" ca="1" si="72"/>
        <v>8.9616974772772657</v>
      </c>
      <c r="K152" s="307">
        <f t="shared" ca="1" si="73"/>
        <v>90.695586130333879</v>
      </c>
      <c r="L152" s="304">
        <f t="shared" ca="1" si="58"/>
        <v>91.137266610311769</v>
      </c>
      <c r="M152" s="306">
        <f t="shared" ca="1" si="74"/>
        <v>1.4667520327675705</v>
      </c>
      <c r="N152" s="304">
        <f t="shared" ca="1" si="75"/>
        <v>84.038701069816014</v>
      </c>
      <c r="P152" s="310">
        <f t="shared" ca="1" si="76"/>
        <v>4</v>
      </c>
      <c r="Q152" s="304">
        <f t="shared" ca="1" si="77"/>
        <v>662.99999999999977</v>
      </c>
      <c r="R152" s="306">
        <f t="shared" ca="1" si="78"/>
        <v>0.33272880968921997</v>
      </c>
      <c r="S152" s="307">
        <f t="shared" ca="1" si="79"/>
        <v>7.9512489960502712</v>
      </c>
      <c r="T152" s="304">
        <f t="shared" ca="1" si="59"/>
        <v>78.00175265125317</v>
      </c>
      <c r="U152" s="311">
        <f t="shared" ca="1" si="60"/>
        <v>0</v>
      </c>
      <c r="V152" s="306">
        <f t="shared" ca="1" si="61"/>
        <v>1.2139399456048345</v>
      </c>
      <c r="W152" s="304">
        <f t="shared" ca="1" si="62"/>
        <v>45.551794391817751</v>
      </c>
      <c r="Y152" s="314" t="str">
        <f t="shared" ca="1" si="80"/>
        <v/>
      </c>
      <c r="Z152" s="315" t="str">
        <f t="shared" ca="1" si="81"/>
        <v/>
      </c>
      <c r="AA152" s="316" t="str">
        <f t="shared" ca="1" si="82"/>
        <v/>
      </c>
      <c r="AC152" s="310" t="e">
        <f t="shared" ca="1" si="83"/>
        <v>#N/A</v>
      </c>
      <c r="AD152" s="323" t="e">
        <f t="shared" ca="1" si="84"/>
        <v>#N/A</v>
      </c>
      <c r="AE152" s="324">
        <f t="shared" ca="1" si="63"/>
        <v>90.695586130333879</v>
      </c>
      <c r="AG152" s="306">
        <f t="shared" ca="1" si="85"/>
        <v>67.961708974892531</v>
      </c>
      <c r="AH152" s="304">
        <f t="shared" ca="1" si="86"/>
        <v>77.718746198506224</v>
      </c>
    </row>
    <row r="153" spans="1:34" x14ac:dyDescent="0.2">
      <c r="A153" s="347">
        <f t="shared" ca="1" si="64"/>
        <v>0.01</v>
      </c>
      <c r="B153" s="304">
        <f t="shared" ca="1" si="65"/>
        <v>1.4900000000000011</v>
      </c>
      <c r="D153" s="306">
        <f t="shared" ca="1" si="66"/>
        <v>8.0473722446903757</v>
      </c>
      <c r="E153" s="307">
        <f t="shared" ca="1" si="67"/>
        <v>67.25634143808152</v>
      </c>
      <c r="F153" s="304">
        <f t="shared" ca="1" si="68"/>
        <v>67.736073577381319</v>
      </c>
      <c r="G153" s="306">
        <f t="shared" ca="1" si="69"/>
        <v>12.453647752199238</v>
      </c>
      <c r="H153" s="307">
        <f t="shared" ca="1" si="70"/>
        <v>119.16531178685101</v>
      </c>
      <c r="I153" s="304">
        <f t="shared" ca="1" si="71"/>
        <v>119.81429328587332</v>
      </c>
      <c r="J153" s="306">
        <f t="shared" ca="1" si="72"/>
        <v>9.0858315861870231</v>
      </c>
      <c r="K153" s="307">
        <f t="shared" ca="1" si="73"/>
        <v>91.883876431130489</v>
      </c>
      <c r="L153" s="304">
        <f t="shared" ca="1" si="58"/>
        <v>92.332004655069696</v>
      </c>
      <c r="M153" s="306">
        <f t="shared" ca="1" si="74"/>
        <v>1.4666669983371514</v>
      </c>
      <c r="N153" s="304">
        <f t="shared" ca="1" si="75"/>
        <v>84.033828955839709</v>
      </c>
      <c r="P153" s="310">
        <f t="shared" ca="1" si="76"/>
        <v>4</v>
      </c>
      <c r="Q153" s="304">
        <f t="shared" ca="1" si="77"/>
        <v>661.39999999999986</v>
      </c>
      <c r="R153" s="306">
        <f t="shared" ca="1" si="78"/>
        <v>0.33192584423597304</v>
      </c>
      <c r="S153" s="307">
        <f t="shared" ca="1" si="79"/>
        <v>7.9479297376079119</v>
      </c>
      <c r="T153" s="304">
        <f t="shared" ca="1" si="59"/>
        <v>77.969190725933615</v>
      </c>
      <c r="U153" s="311">
        <f t="shared" ca="1" si="60"/>
        <v>0</v>
      </c>
      <c r="V153" s="306">
        <f t="shared" ca="1" si="61"/>
        <v>1.2137956998636479</v>
      </c>
      <c r="W153" s="304">
        <f t="shared" ca="1" si="62"/>
        <v>46.065708917306047</v>
      </c>
      <c r="Y153" s="314" t="str">
        <f t="shared" ca="1" si="80"/>
        <v/>
      </c>
      <c r="Z153" s="315" t="str">
        <f t="shared" ca="1" si="81"/>
        <v/>
      </c>
      <c r="AA153" s="316" t="str">
        <f t="shared" ca="1" si="82"/>
        <v/>
      </c>
      <c r="AC153" s="310" t="e">
        <f t="shared" ca="1" si="83"/>
        <v>#N/A</v>
      </c>
      <c r="AD153" s="323" t="e">
        <f t="shared" ca="1" si="84"/>
        <v>#N/A</v>
      </c>
      <c r="AE153" s="324">
        <f t="shared" ca="1" si="63"/>
        <v>91.883876431130489</v>
      </c>
      <c r="AG153" s="306">
        <f t="shared" ca="1" si="85"/>
        <v>67.728410884395743</v>
      </c>
      <c r="AH153" s="304">
        <f t="shared" ca="1" si="86"/>
        <v>77.485361086437322</v>
      </c>
    </row>
    <row r="154" spans="1:34" x14ac:dyDescent="0.2">
      <c r="A154" s="347">
        <f t="shared" ca="1" si="64"/>
        <v>0.01</v>
      </c>
      <c r="B154" s="304">
        <f t="shared" ca="1" si="65"/>
        <v>1.5000000000000011</v>
      </c>
      <c r="D154" s="306">
        <f t="shared" ca="1" si="66"/>
        <v>8.0296254697195675</v>
      </c>
      <c r="E154" s="307">
        <f t="shared" ca="1" si="67"/>
        <v>67.023136898528193</v>
      </c>
      <c r="F154" s="304">
        <f t="shared" ca="1" si="68"/>
        <v>67.502413030223011</v>
      </c>
      <c r="G154" s="306">
        <f t="shared" ca="1" si="69"/>
        <v>12.533944006896434</v>
      </c>
      <c r="H154" s="307">
        <f t="shared" ca="1" si="70"/>
        <v>119.83554315583629</v>
      </c>
      <c r="I154" s="304">
        <f t="shared" ca="1" si="71"/>
        <v>120.48924083013519</v>
      </c>
      <c r="J154" s="306">
        <f t="shared" ca="1" si="72"/>
        <v>9.2107695449825009</v>
      </c>
      <c r="K154" s="307">
        <f t="shared" ca="1" si="73"/>
        <v>93.078880705843929</v>
      </c>
      <c r="L154" s="304">
        <f t="shared" ca="1" si="58"/>
        <v>93.533503671483956</v>
      </c>
      <c r="M154" s="306">
        <f t="shared" ca="1" si="74"/>
        <v>1.466582371387513</v>
      </c>
      <c r="N154" s="304">
        <f t="shared" ca="1" si="75"/>
        <v>84.02898018879236</v>
      </c>
      <c r="P154" s="310">
        <f t="shared" ca="1" si="76"/>
        <v>4</v>
      </c>
      <c r="Q154" s="304">
        <f t="shared" ca="1" si="77"/>
        <v>659.79999999999984</v>
      </c>
      <c r="R154" s="306">
        <f t="shared" ca="1" si="78"/>
        <v>0.331122878782726</v>
      </c>
      <c r="S154" s="307">
        <f t="shared" ca="1" si="79"/>
        <v>7.9446185088200849</v>
      </c>
      <c r="T154" s="304">
        <f t="shared" ca="1" si="59"/>
        <v>77.936707571525034</v>
      </c>
      <c r="U154" s="311">
        <f t="shared" ca="1" si="60"/>
        <v>0</v>
      </c>
      <c r="V154" s="306">
        <f t="shared" ca="1" si="61"/>
        <v>1.2136506563238403</v>
      </c>
      <c r="W154" s="304">
        <f t="shared" ca="1" si="62"/>
        <v>46.580606042334139</v>
      </c>
      <c r="Y154" s="314" t="str">
        <f t="shared" ca="1" si="80"/>
        <v/>
      </c>
      <c r="Z154" s="315" t="str">
        <f t="shared" ca="1" si="81"/>
        <v/>
      </c>
      <c r="AA154" s="316" t="str">
        <f t="shared" ca="1" si="82"/>
        <v/>
      </c>
      <c r="AC154" s="310" t="e">
        <f t="shared" ca="1" si="83"/>
        <v>#N/A</v>
      </c>
      <c r="AD154" s="323" t="e">
        <f t="shared" ca="1" si="84"/>
        <v>#N/A</v>
      </c>
      <c r="AE154" s="324">
        <f t="shared" ca="1" si="63"/>
        <v>93.078880705843929</v>
      </c>
      <c r="AG154" s="306">
        <f t="shared" ca="1" si="85"/>
        <v>67.494711280672902</v>
      </c>
      <c r="AH154" s="304">
        <f t="shared" ca="1" si="86"/>
        <v>77.2515748114687</v>
      </c>
    </row>
    <row r="155" spans="1:34" x14ac:dyDescent="0.2">
      <c r="A155" s="347">
        <f t="shared" ca="1" si="64"/>
        <v>0.01</v>
      </c>
      <c r="B155" s="304">
        <f t="shared" ca="1" si="65"/>
        <v>1.5100000000000011</v>
      </c>
      <c r="D155" s="306">
        <f t="shared" ca="1" si="66"/>
        <v>8.0126839294529475</v>
      </c>
      <c r="E155" s="307">
        <f t="shared" ca="1" si="67"/>
        <v>66.798315011915747</v>
      </c>
      <c r="F155" s="304">
        <f t="shared" ca="1" si="68"/>
        <v>67.27717289084346</v>
      </c>
      <c r="G155" s="306">
        <f t="shared" ca="1" si="69"/>
        <v>12.614070846190963</v>
      </c>
      <c r="H155" s="307">
        <f t="shared" ca="1" si="70"/>
        <v>120.50352630595545</v>
      </c>
      <c r="I155" s="304">
        <f t="shared" ca="1" si="71"/>
        <v>121.16193558821526</v>
      </c>
      <c r="J155" s="306">
        <f t="shared" ca="1" si="72"/>
        <v>9.3365096192479378</v>
      </c>
      <c r="K155" s="307">
        <f t="shared" ca="1" si="73"/>
        <v>94.280576053152885</v>
      </c>
      <c r="L155" s="304">
        <f t="shared" ca="1" si="58"/>
        <v>94.741740710125512</v>
      </c>
      <c r="M155" s="306">
        <f t="shared" ca="1" si="74"/>
        <v>1.4664981461416424</v>
      </c>
      <c r="N155" s="304">
        <f t="shared" ca="1" si="75"/>
        <v>84.02415443767552</v>
      </c>
      <c r="P155" s="310">
        <f t="shared" ca="1" si="76"/>
        <v>5</v>
      </c>
      <c r="Q155" s="304">
        <f t="shared" ca="1" si="77"/>
        <v>658.26999999999987</v>
      </c>
      <c r="R155" s="306">
        <f t="shared" ca="1" si="78"/>
        <v>0.33035504306805863</v>
      </c>
      <c r="S155" s="307">
        <f t="shared" ca="1" si="79"/>
        <v>7.9413149583894045</v>
      </c>
      <c r="T155" s="304">
        <f t="shared" ca="1" si="59"/>
        <v>77.90429974180006</v>
      </c>
      <c r="U155" s="311">
        <f t="shared" ca="1" si="60"/>
        <v>0</v>
      </c>
      <c r="V155" s="306">
        <f t="shared" ca="1" si="61"/>
        <v>1.2135048180522823</v>
      </c>
      <c r="W155" s="304">
        <f t="shared" ca="1" si="62"/>
        <v>47.096519557023726</v>
      </c>
      <c r="Y155" s="314" t="str">
        <f t="shared" ca="1" si="80"/>
        <v/>
      </c>
      <c r="Z155" s="315" t="str">
        <f t="shared" ca="1" si="81"/>
        <v/>
      </c>
      <c r="AA155" s="316" t="str">
        <f t="shared" ca="1" si="82"/>
        <v/>
      </c>
      <c r="AC155" s="310" t="e">
        <f t="shared" ca="1" si="83"/>
        <v>#N/A</v>
      </c>
      <c r="AD155" s="323" t="e">
        <f t="shared" ca="1" si="84"/>
        <v>#N/A</v>
      </c>
      <c r="AE155" s="324">
        <f t="shared" ca="1" si="63"/>
        <v>94.280576053152885</v>
      </c>
      <c r="AG155" s="306">
        <f t="shared" ca="1" si="85"/>
        <v>67.269432832521616</v>
      </c>
      <c r="AH155" s="304">
        <f t="shared" ca="1" si="86"/>
        <v>77.026210037351774</v>
      </c>
    </row>
    <row r="156" spans="1:34" x14ac:dyDescent="0.2">
      <c r="A156" s="347">
        <f t="shared" ca="1" si="64"/>
        <v>0.01</v>
      </c>
      <c r="B156" s="304">
        <f t="shared" ca="1" si="65"/>
        <v>1.5200000000000011</v>
      </c>
      <c r="D156" s="306">
        <f t="shared" ca="1" si="66"/>
        <v>7.9965515404035514</v>
      </c>
      <c r="E156" s="307">
        <f t="shared" ca="1" si="67"/>
        <v>66.58188574851934</v>
      </c>
      <c r="F156" s="304">
        <f t="shared" ca="1" si="68"/>
        <v>67.060363452394242</v>
      </c>
      <c r="G156" s="306">
        <f t="shared" ca="1" si="69"/>
        <v>12.694036361594998</v>
      </c>
      <c r="H156" s="307">
        <f t="shared" ca="1" si="70"/>
        <v>121.16934516344064</v>
      </c>
      <c r="I156" s="304">
        <f t="shared" ca="1" si="71"/>
        <v>121.8324618748489</v>
      </c>
      <c r="J156" s="306">
        <f t="shared" ca="1" si="72"/>
        <v>9.4630501552868669</v>
      </c>
      <c r="K156" s="307">
        <f t="shared" ca="1" si="73"/>
        <v>95.488940410499865</v>
      </c>
      <c r="L156" s="304">
        <f t="shared" ca="1" si="58"/>
        <v>95.956693664180975</v>
      </c>
      <c r="M156" s="306">
        <f t="shared" ca="1" si="74"/>
        <v>1.4664143169938832</v>
      </c>
      <c r="N156" s="304">
        <f t="shared" ca="1" si="75"/>
        <v>84.019351381308738</v>
      </c>
      <c r="P156" s="310">
        <f t="shared" ca="1" si="76"/>
        <v>5</v>
      </c>
      <c r="Q156" s="304">
        <f t="shared" ca="1" si="77"/>
        <v>656.80999999999983</v>
      </c>
      <c r="R156" s="306">
        <f t="shared" ca="1" si="78"/>
        <v>0.3296223370919707</v>
      </c>
      <c r="S156" s="307">
        <f t="shared" ca="1" si="79"/>
        <v>7.9380187350184848</v>
      </c>
      <c r="T156" s="304">
        <f t="shared" ca="1" si="59"/>
        <v>77.871963790531339</v>
      </c>
      <c r="U156" s="311">
        <f t="shared" ca="1" si="60"/>
        <v>0</v>
      </c>
      <c r="V156" s="306">
        <f t="shared" ca="1" si="61"/>
        <v>1.2133581880142625</v>
      </c>
      <c r="W156" s="304">
        <f t="shared" ca="1" si="62"/>
        <v>47.613484865859043</v>
      </c>
      <c r="Y156" s="314" t="str">
        <f t="shared" ca="1" si="80"/>
        <v/>
      </c>
      <c r="Z156" s="315" t="str">
        <f t="shared" ca="1" si="81"/>
        <v/>
      </c>
      <c r="AA156" s="316" t="str">
        <f t="shared" ca="1" si="82"/>
        <v/>
      </c>
      <c r="AC156" s="310" t="e">
        <f t="shared" ca="1" si="83"/>
        <v>#N/A</v>
      </c>
      <c r="AD156" s="323" t="e">
        <f t="shared" ca="1" si="84"/>
        <v>#N/A</v>
      </c>
      <c r="AE156" s="324">
        <f t="shared" ca="1" si="63"/>
        <v>95.488940410499865</v>
      </c>
      <c r="AG156" s="306">
        <f t="shared" ca="1" si="85"/>
        <v>67.052585855543938</v>
      </c>
      <c r="AH156" s="304">
        <f t="shared" ca="1" si="86"/>
        <v>76.809277074798473</v>
      </c>
    </row>
    <row r="157" spans="1:34" x14ac:dyDescent="0.2">
      <c r="A157" s="347">
        <f t="shared" ca="1" si="64"/>
        <v>0.01</v>
      </c>
      <c r="B157" s="304">
        <f t="shared" ca="1" si="65"/>
        <v>1.5300000000000011</v>
      </c>
      <c r="D157" s="306">
        <f t="shared" ca="1" si="66"/>
        <v>7.9803126180850308</v>
      </c>
      <c r="E157" s="307">
        <f t="shared" ca="1" si="67"/>
        <v>66.365081478292382</v>
      </c>
      <c r="F157" s="304">
        <f t="shared" ca="1" si="68"/>
        <v>66.843170399845292</v>
      </c>
      <c r="G157" s="306">
        <f t="shared" ca="1" si="69"/>
        <v>12.773839487775849</v>
      </c>
      <c r="H157" s="307">
        <f t="shared" ca="1" si="70"/>
        <v>121.83299597822356</v>
      </c>
      <c r="I157" s="304">
        <f t="shared" ca="1" si="71"/>
        <v>122.50081585152526</v>
      </c>
      <c r="J157" s="306">
        <f t="shared" ca="1" si="72"/>
        <v>9.5903895345337205</v>
      </c>
      <c r="K157" s="307">
        <f t="shared" ca="1" si="73"/>
        <v>96.703952116208185</v>
      </c>
      <c r="L157" s="304">
        <f t="shared" ca="1" si="58"/>
        <v>97.178340829209375</v>
      </c>
      <c r="M157" s="306">
        <f t="shared" ca="1" si="74"/>
        <v>1.4663308784445772</v>
      </c>
      <c r="N157" s="304">
        <f t="shared" ca="1" si="75"/>
        <v>84.014570704584813</v>
      </c>
      <c r="P157" s="310">
        <f t="shared" ca="1" si="76"/>
        <v>5</v>
      </c>
      <c r="Q157" s="304">
        <f t="shared" ca="1" si="77"/>
        <v>655.3499999999998</v>
      </c>
      <c r="R157" s="306">
        <f t="shared" ca="1" si="78"/>
        <v>0.32888963111588282</v>
      </c>
      <c r="S157" s="307">
        <f t="shared" ca="1" si="79"/>
        <v>7.9347298387073257</v>
      </c>
      <c r="T157" s="304">
        <f t="shared" ca="1" si="59"/>
        <v>77.839699717718872</v>
      </c>
      <c r="U157" s="311">
        <f t="shared" ca="1" si="60"/>
        <v>0</v>
      </c>
      <c r="V157" s="306">
        <f t="shared" ca="1" si="61"/>
        <v>1.2132107691266576</v>
      </c>
      <c r="W157" s="304">
        <f t="shared" ca="1" si="62"/>
        <v>48.131469625453498</v>
      </c>
      <c r="Y157" s="314" t="str">
        <f t="shared" ca="1" si="80"/>
        <v/>
      </c>
      <c r="Z157" s="315" t="str">
        <f t="shared" ca="1" si="81"/>
        <v/>
      </c>
      <c r="AA157" s="316" t="str">
        <f t="shared" ca="1" si="82"/>
        <v/>
      </c>
      <c r="AC157" s="310" t="e">
        <f t="shared" ca="1" si="83"/>
        <v>#N/A</v>
      </c>
      <c r="AD157" s="323" t="e">
        <f t="shared" ca="1" si="84"/>
        <v>#N/A</v>
      </c>
      <c r="AE157" s="324">
        <f t="shared" ca="1" si="63"/>
        <v>96.703952116208185</v>
      </c>
      <c r="AG157" s="306">
        <f t="shared" ca="1" si="85"/>
        <v>66.83535502515295</v>
      </c>
      <c r="AH157" s="304">
        <f t="shared" ca="1" si="86"/>
        <v>76.591960594483098</v>
      </c>
    </row>
    <row r="158" spans="1:34" x14ac:dyDescent="0.2">
      <c r="A158" s="347">
        <f t="shared" ca="1" si="64"/>
        <v>0.01</v>
      </c>
      <c r="B158" s="304">
        <f t="shared" ca="1" si="65"/>
        <v>1.5400000000000011</v>
      </c>
      <c r="D158" s="306">
        <f t="shared" ca="1" si="66"/>
        <v>7.9639681806485259</v>
      </c>
      <c r="E158" s="307">
        <f t="shared" ca="1" si="67"/>
        <v>66.147906332874499</v>
      </c>
      <c r="F158" s="304">
        <f t="shared" ca="1" si="68"/>
        <v>66.625597944071927</v>
      </c>
      <c r="G158" s="306">
        <f t="shared" ca="1" si="69"/>
        <v>12.853479169582334</v>
      </c>
      <c r="H158" s="307">
        <f t="shared" ca="1" si="70"/>
        <v>122.49447504155231</v>
      </c>
      <c r="I158" s="304">
        <f t="shared" ca="1" si="71"/>
        <v>123.16699372180994</v>
      </c>
      <c r="J158" s="306">
        <f t="shared" ca="1" si="72"/>
        <v>9.7185261278205122</v>
      </c>
      <c r="K158" s="307">
        <f t="shared" ca="1" si="73"/>
        <v>97.925589471307063</v>
      </c>
      <c r="L158" s="304">
        <f t="shared" ca="1" si="58"/>
        <v>98.406660462593152</v>
      </c>
      <c r="M158" s="306">
        <f t="shared" ca="1" si="74"/>
        <v>1.4662478250973388</v>
      </c>
      <c r="N158" s="304">
        <f t="shared" ca="1" si="75"/>
        <v>84.009812098313617</v>
      </c>
      <c r="P158" s="310">
        <f t="shared" ca="1" si="76"/>
        <v>5</v>
      </c>
      <c r="Q158" s="304">
        <f t="shared" ca="1" si="77"/>
        <v>653.88999999999987</v>
      </c>
      <c r="R158" s="306">
        <f t="shared" ca="1" si="78"/>
        <v>0.328156925139795</v>
      </c>
      <c r="S158" s="307">
        <f t="shared" ca="1" si="79"/>
        <v>7.9314482694559274</v>
      </c>
      <c r="T158" s="304">
        <f t="shared" ca="1" si="59"/>
        <v>77.807507523362645</v>
      </c>
      <c r="U158" s="311">
        <f t="shared" ca="1" si="60"/>
        <v>0</v>
      </c>
      <c r="V158" s="306">
        <f t="shared" ca="1" si="61"/>
        <v>1.2130625643110957</v>
      </c>
      <c r="W158" s="304">
        <f t="shared" ca="1" si="62"/>
        <v>48.65044156619107</v>
      </c>
      <c r="Y158" s="314" t="str">
        <f t="shared" ca="1" si="80"/>
        <v/>
      </c>
      <c r="Z158" s="315" t="str">
        <f t="shared" ca="1" si="81"/>
        <v/>
      </c>
      <c r="AA158" s="316" t="str">
        <f t="shared" ca="1" si="82"/>
        <v/>
      </c>
      <c r="AC158" s="310" t="e">
        <f t="shared" ca="1" si="83"/>
        <v>#N/A</v>
      </c>
      <c r="AD158" s="323" t="e">
        <f t="shared" ca="1" si="84"/>
        <v>#N/A</v>
      </c>
      <c r="AE158" s="324">
        <f t="shared" ca="1" si="63"/>
        <v>97.925589471307063</v>
      </c>
      <c r="AG158" s="306">
        <f t="shared" ca="1" si="85"/>
        <v>66.61774454904382</v>
      </c>
      <c r="AH158" s="304">
        <f t="shared" ca="1" si="86"/>
        <v>76.374264799447459</v>
      </c>
    </row>
    <row r="159" spans="1:34" x14ac:dyDescent="0.2">
      <c r="A159" s="347">
        <f t="shared" ca="1" si="64"/>
        <v>0.01</v>
      </c>
      <c r="B159" s="304">
        <f t="shared" ca="1" si="65"/>
        <v>1.5500000000000012</v>
      </c>
      <c r="D159" s="306">
        <f t="shared" ca="1" si="66"/>
        <v>7.9475192358987092</v>
      </c>
      <c r="E159" s="307">
        <f t="shared" ca="1" si="67"/>
        <v>65.930364444507546</v>
      </c>
      <c r="F159" s="304">
        <f t="shared" ca="1" si="68"/>
        <v>66.407650295659195</v>
      </c>
      <c r="G159" s="306">
        <f t="shared" ca="1" si="69"/>
        <v>12.932954361941322</v>
      </c>
      <c r="H159" s="307">
        <f t="shared" ca="1" si="70"/>
        <v>123.15377868599738</v>
      </c>
      <c r="I159" s="304">
        <f t="shared" ca="1" si="71"/>
        <v>123.83099173134195</v>
      </c>
      <c r="J159" s="306">
        <f t="shared" ca="1" si="72"/>
        <v>9.8474582954781305</v>
      </c>
      <c r="K159" s="307">
        <f t="shared" ca="1" si="73"/>
        <v>99.153830739944809</v>
      </c>
      <c r="L159" s="304">
        <f t="shared" ca="1" si="58"/>
        <v>99.641630783959002</v>
      </c>
      <c r="M159" s="306">
        <f t="shared" ca="1" si="74"/>
        <v>1.4661651516564169</v>
      </c>
      <c r="N159" s="304">
        <f t="shared" ca="1" si="75"/>
        <v>84.005075259070964</v>
      </c>
      <c r="P159" s="310">
        <f t="shared" ca="1" si="76"/>
        <v>5</v>
      </c>
      <c r="Q159" s="304">
        <f t="shared" ca="1" si="77"/>
        <v>652.42999999999984</v>
      </c>
      <c r="R159" s="306">
        <f t="shared" ca="1" si="78"/>
        <v>0.32742421916370706</v>
      </c>
      <c r="S159" s="307">
        <f t="shared" ca="1" si="79"/>
        <v>7.9281740272642907</v>
      </c>
      <c r="T159" s="304">
        <f t="shared" ca="1" si="59"/>
        <v>77.7753872074627</v>
      </c>
      <c r="U159" s="311">
        <f t="shared" ca="1" si="60"/>
        <v>0</v>
      </c>
      <c r="V159" s="306">
        <f t="shared" ca="1" si="61"/>
        <v>1.2129135764938854</v>
      </c>
      <c r="W159" s="304">
        <f t="shared" ca="1" si="62"/>
        <v>49.170368493855833</v>
      </c>
      <c r="Y159" s="314" t="str">
        <f t="shared" ca="1" si="80"/>
        <v/>
      </c>
      <c r="Z159" s="315" t="str">
        <f t="shared" ca="1" si="81"/>
        <v/>
      </c>
      <c r="AA159" s="316" t="str">
        <f t="shared" ca="1" si="82"/>
        <v/>
      </c>
      <c r="AC159" s="310" t="e">
        <f t="shared" ca="1" si="83"/>
        <v>#N/A</v>
      </c>
      <c r="AD159" s="323" t="e">
        <f t="shared" ca="1" si="84"/>
        <v>#N/A</v>
      </c>
      <c r="AE159" s="324">
        <f t="shared" ca="1" si="63"/>
        <v>99.153830739944809</v>
      </c>
      <c r="AG159" s="306">
        <f t="shared" ca="1" si="85"/>
        <v>66.399758634593368</v>
      </c>
      <c r="AH159" s="304">
        <f t="shared" ca="1" si="86"/>
        <v>76.156193892498351</v>
      </c>
    </row>
    <row r="160" spans="1:34" x14ac:dyDescent="0.2">
      <c r="A160" s="347">
        <f t="shared" ca="1" si="64"/>
        <v>0.01</v>
      </c>
      <c r="B160" s="304">
        <f t="shared" ca="1" si="65"/>
        <v>1.5600000000000012</v>
      </c>
      <c r="D160" s="306">
        <f t="shared" ca="1" si="66"/>
        <v>7.930966781543332</v>
      </c>
      <c r="E160" s="307">
        <f t="shared" ca="1" si="67"/>
        <v>65.712459945769893</v>
      </c>
      <c r="F160" s="304">
        <f t="shared" ca="1" si="68"/>
        <v>66.18933166465996</v>
      </c>
      <c r="G160" s="306">
        <f t="shared" ca="1" si="69"/>
        <v>13.012264029756755</v>
      </c>
      <c r="H160" s="307">
        <f t="shared" ca="1" si="70"/>
        <v>123.81090328545508</v>
      </c>
      <c r="I160" s="304">
        <f t="shared" ca="1" si="71"/>
        <v>124.49280616782808</v>
      </c>
      <c r="J160" s="306">
        <f t="shared" ca="1" si="72"/>
        <v>9.9771843874366208</v>
      </c>
      <c r="K160" s="307">
        <f t="shared" ca="1" si="73"/>
        <v>100.38865414980206</v>
      </c>
      <c r="L160" s="304">
        <f t="shared" ca="1" si="58"/>
        <v>100.88322997559843</v>
      </c>
      <c r="M160" s="306">
        <f t="shared" ca="1" si="74"/>
        <v>1.4660828529241432</v>
      </c>
      <c r="N160" s="304">
        <f t="shared" ca="1" si="75"/>
        <v>84.000359889052405</v>
      </c>
      <c r="P160" s="310">
        <f t="shared" ca="1" si="76"/>
        <v>5</v>
      </c>
      <c r="Q160" s="304">
        <f t="shared" ca="1" si="77"/>
        <v>650.9699999999998</v>
      </c>
      <c r="R160" s="306">
        <f t="shared" ca="1" si="78"/>
        <v>0.32669151318761919</v>
      </c>
      <c r="S160" s="307">
        <f t="shared" ca="1" si="79"/>
        <v>7.9249071121324146</v>
      </c>
      <c r="T160" s="304">
        <f t="shared" ca="1" si="59"/>
        <v>77.743338770018994</v>
      </c>
      <c r="U160" s="311">
        <f t="shared" ca="1" si="60"/>
        <v>0</v>
      </c>
      <c r="V160" s="306">
        <f t="shared" ca="1" si="61"/>
        <v>1.2127638086059476</v>
      </c>
      <c r="W160" s="304">
        <f t="shared" ca="1" si="62"/>
        <v>49.691218291248425</v>
      </c>
      <c r="Y160" s="314" t="str">
        <f t="shared" ca="1" si="80"/>
        <v/>
      </c>
      <c r="Z160" s="315" t="str">
        <f t="shared" ca="1" si="81"/>
        <v/>
      </c>
      <c r="AA160" s="316" t="str">
        <f t="shared" ca="1" si="82"/>
        <v/>
      </c>
      <c r="AC160" s="310" t="e">
        <f t="shared" ca="1" si="83"/>
        <v>#N/A</v>
      </c>
      <c r="AD160" s="323" t="e">
        <f t="shared" ca="1" si="84"/>
        <v>#N/A</v>
      </c>
      <c r="AE160" s="324">
        <f t="shared" ca="1" si="63"/>
        <v>100.38865414980206</v>
      </c>
      <c r="AG160" s="306">
        <f t="shared" ca="1" si="85"/>
        <v>66.181401488617254</v>
      </c>
      <c r="AH160" s="304">
        <f t="shared" ca="1" si="86"/>
        <v>75.937752075962592</v>
      </c>
    </row>
    <row r="161" spans="1:34" x14ac:dyDescent="0.2">
      <c r="A161" s="347">
        <f t="shared" ca="1" si="64"/>
        <v>0.01</v>
      </c>
      <c r="B161" s="304">
        <f t="shared" ca="1" si="65"/>
        <v>1.5700000000000012</v>
      </c>
      <c r="D161" s="306">
        <f t="shared" ca="1" si="66"/>
        <v>7.9143118054338242</v>
      </c>
      <c r="E161" s="307">
        <f t="shared" ca="1" si="67"/>
        <v>65.494196969312441</v>
      </c>
      <c r="F161" s="304">
        <f t="shared" ca="1" si="68"/>
        <v>65.970646260353732</v>
      </c>
      <c r="G161" s="306">
        <f t="shared" ca="1" si="69"/>
        <v>13.091407147811093</v>
      </c>
      <c r="H161" s="307">
        <f t="shared" ca="1" si="70"/>
        <v>124.46584525514821</v>
      </c>
      <c r="I161" s="304">
        <f t="shared" ca="1" si="71"/>
        <v>125.15243336103481</v>
      </c>
      <c r="J161" s="306">
        <f t="shared" ca="1" si="72"/>
        <v>10.10770274332446</v>
      </c>
      <c r="K161" s="307">
        <f t="shared" ca="1" si="73"/>
        <v>101.63003789250509</v>
      </c>
      <c r="L161" s="304">
        <f t="shared" ca="1" si="58"/>
        <v>102.13143618288851</v>
      </c>
      <c r="M161" s="306">
        <f t="shared" ca="1" si="74"/>
        <v>1.4660009237984564</v>
      </c>
      <c r="N161" s="304">
        <f t="shared" ca="1" si="75"/>
        <v>83.995665695931351</v>
      </c>
      <c r="P161" s="310">
        <f t="shared" ca="1" si="76"/>
        <v>5</v>
      </c>
      <c r="Q161" s="304">
        <f t="shared" ca="1" si="77"/>
        <v>649.50999999999976</v>
      </c>
      <c r="R161" s="306">
        <f t="shared" ca="1" si="78"/>
        <v>0.32595880721153131</v>
      </c>
      <c r="S161" s="307">
        <f t="shared" ca="1" si="79"/>
        <v>7.9216475240602993</v>
      </c>
      <c r="T161" s="304">
        <f t="shared" ca="1" si="59"/>
        <v>77.711362211031542</v>
      </c>
      <c r="U161" s="311">
        <f t="shared" ca="1" si="60"/>
        <v>0</v>
      </c>
      <c r="V161" s="306">
        <f t="shared" ca="1" si="61"/>
        <v>1.2126132635827409</v>
      </c>
      <c r="W161" s="304">
        <f t="shared" ca="1" si="62"/>
        <v>50.212958919788832</v>
      </c>
      <c r="Y161" s="314" t="str">
        <f t="shared" ca="1" si="80"/>
        <v/>
      </c>
      <c r="Z161" s="315" t="str">
        <f t="shared" ca="1" si="81"/>
        <v/>
      </c>
      <c r="AA161" s="316" t="str">
        <f t="shared" ca="1" si="82"/>
        <v/>
      </c>
      <c r="AC161" s="310" t="e">
        <f t="shared" ca="1" si="83"/>
        <v>#N/A</v>
      </c>
      <c r="AD161" s="323" t="e">
        <f t="shared" ca="1" si="84"/>
        <v>#N/A</v>
      </c>
      <c r="AE161" s="324">
        <f t="shared" ca="1" si="63"/>
        <v>101.63003789250509</v>
      </c>
      <c r="AG161" s="306">
        <f t="shared" ca="1" si="85"/>
        <v>65.962677317128069</v>
      </c>
      <c r="AH161" s="304">
        <f t="shared" ca="1" si="86"/>
        <v>75.718943551443161</v>
      </c>
    </row>
    <row r="162" spans="1:34" x14ac:dyDescent="0.2">
      <c r="A162" s="347">
        <f t="shared" ca="1" si="64"/>
        <v>0.01</v>
      </c>
      <c r="B162" s="304">
        <f t="shared" ca="1" si="65"/>
        <v>1.5800000000000012</v>
      </c>
      <c r="D162" s="306">
        <f t="shared" ca="1" si="66"/>
        <v>7.8975552857977691</v>
      </c>
      <c r="E162" s="307">
        <f t="shared" ca="1" si="67"/>
        <v>65.275579647596459</v>
      </c>
      <c r="F162" s="304">
        <f t="shared" ca="1" si="68"/>
        <v>65.7515982910069</v>
      </c>
      <c r="G162" s="306">
        <f t="shared" ca="1" si="69"/>
        <v>13.170382700669071</v>
      </c>
      <c r="H162" s="307">
        <f t="shared" ca="1" si="70"/>
        <v>125.11860105162417</v>
      </c>
      <c r="I162" s="304">
        <f t="shared" ca="1" si="71"/>
        <v>125.80986968277796</v>
      </c>
      <c r="J162" s="306">
        <f t="shared" ca="1" si="72"/>
        <v>10.23901169256686</v>
      </c>
      <c r="K162" s="307">
        <f t="shared" ca="1" si="73"/>
        <v>102.87796012403895</v>
      </c>
      <c r="L162" s="304">
        <f t="shared" ca="1" si="58"/>
        <v>103.38622751471237</v>
      </c>
      <c r="M162" s="306">
        <f t="shared" ca="1" si="74"/>
        <v>1.4659193592705075</v>
      </c>
      <c r="N162" s="304">
        <f t="shared" ca="1" si="75"/>
        <v>83.990992392721907</v>
      </c>
      <c r="P162" s="310">
        <f t="shared" ca="1" si="76"/>
        <v>5</v>
      </c>
      <c r="Q162" s="304">
        <f t="shared" ca="1" si="77"/>
        <v>648.04999999999984</v>
      </c>
      <c r="R162" s="306">
        <f t="shared" ca="1" si="78"/>
        <v>0.32522610123544349</v>
      </c>
      <c r="S162" s="307">
        <f t="shared" ca="1" si="79"/>
        <v>7.9183952630479446</v>
      </c>
      <c r="T162" s="304">
        <f t="shared" ca="1" si="59"/>
        <v>77.679457530500343</v>
      </c>
      <c r="U162" s="311">
        <f t="shared" ca="1" si="60"/>
        <v>0</v>
      </c>
      <c r="V162" s="306">
        <f t="shared" ca="1" si="61"/>
        <v>1.2124619443641922</v>
      </c>
      <c r="W162" s="304">
        <f t="shared" ca="1" si="62"/>
        <v>50.735558421106198</v>
      </c>
      <c r="Y162" s="314" t="str">
        <f t="shared" ca="1" si="80"/>
        <v/>
      </c>
      <c r="Z162" s="315" t="str">
        <f t="shared" ca="1" si="81"/>
        <v/>
      </c>
      <c r="AA162" s="316" t="str">
        <f t="shared" ca="1" si="82"/>
        <v/>
      </c>
      <c r="AC162" s="310" t="e">
        <f t="shared" ca="1" si="83"/>
        <v>#N/A</v>
      </c>
      <c r="AD162" s="323" t="e">
        <f t="shared" ca="1" si="84"/>
        <v>#N/A</v>
      </c>
      <c r="AE162" s="324">
        <f t="shared" ca="1" si="63"/>
        <v>102.87796012403895</v>
      </c>
      <c r="AG162" s="306">
        <f t="shared" ca="1" si="85"/>
        <v>65.743590325094544</v>
      </c>
      <c r="AH162" s="304">
        <f t="shared" ca="1" si="86"/>
        <v>75.499772519576396</v>
      </c>
    </row>
    <row r="163" spans="1:34" x14ac:dyDescent="0.2">
      <c r="A163" s="347">
        <f t="shared" ca="1" si="64"/>
        <v>0.01</v>
      </c>
      <c r="B163" s="304">
        <f t="shared" ca="1" si="65"/>
        <v>1.5900000000000012</v>
      </c>
      <c r="D163" s="306">
        <f t="shared" ca="1" si="66"/>
        <v>7.8806981914630336</v>
      </c>
      <c r="E163" s="307">
        <f t="shared" ca="1" si="67"/>
        <v>65.056612112632706</v>
      </c>
      <c r="F163" s="304">
        <f t="shared" ca="1" si="68"/>
        <v>65.532191963633238</v>
      </c>
      <c r="G163" s="306">
        <f t="shared" ca="1" si="69"/>
        <v>13.249189682583701</v>
      </c>
      <c r="H163" s="307">
        <f t="shared" ca="1" si="70"/>
        <v>125.7691671727505</v>
      </c>
      <c r="I163" s="304">
        <f t="shared" ca="1" si="71"/>
        <v>126.46511154690982</v>
      </c>
      <c r="J163" s="306">
        <f t="shared" ca="1" si="72"/>
        <v>10.371109554483125</v>
      </c>
      <c r="K163" s="307">
        <f t="shared" ca="1" si="73"/>
        <v>104.13239896516082</v>
      </c>
      <c r="L163" s="304">
        <f t="shared" ca="1" si="58"/>
        <v>104.64758204387962</v>
      </c>
      <c r="M163" s="306">
        <f t="shared" ca="1" si="74"/>
        <v>1.4658381544223398</v>
      </c>
      <c r="N163" s="304">
        <f t="shared" ca="1" si="75"/>
        <v>83.986339697645903</v>
      </c>
      <c r="P163" s="310">
        <f t="shared" ca="1" si="76"/>
        <v>5</v>
      </c>
      <c r="Q163" s="304">
        <f t="shared" ca="1" si="77"/>
        <v>646.5899999999998</v>
      </c>
      <c r="R163" s="306">
        <f t="shared" ca="1" si="78"/>
        <v>0.32449339525935555</v>
      </c>
      <c r="S163" s="307">
        <f t="shared" ca="1" si="79"/>
        <v>7.9151503290953507</v>
      </c>
      <c r="T163" s="304">
        <f t="shared" ca="1" si="59"/>
        <v>77.647624728425399</v>
      </c>
      <c r="U163" s="311">
        <f t="shared" ca="1" si="60"/>
        <v>0</v>
      </c>
      <c r="V163" s="306">
        <f t="shared" ca="1" si="61"/>
        <v>1.2123098538946264</v>
      </c>
      <c r="W163" s="304">
        <f t="shared" ca="1" si="62"/>
        <v>51.258984918615063</v>
      </c>
      <c r="Y163" s="314" t="str">
        <f t="shared" ca="1" si="80"/>
        <v/>
      </c>
      <c r="Z163" s="315" t="str">
        <f t="shared" ca="1" si="81"/>
        <v/>
      </c>
      <c r="AA163" s="316" t="str">
        <f t="shared" ca="1" si="82"/>
        <v/>
      </c>
      <c r="AC163" s="310" t="e">
        <f t="shared" ca="1" si="83"/>
        <v>#N/A</v>
      </c>
      <c r="AD163" s="323" t="e">
        <f t="shared" ca="1" si="84"/>
        <v>#N/A</v>
      </c>
      <c r="AE163" s="324">
        <f t="shared" ca="1" si="63"/>
        <v>104.13239896516082</v>
      </c>
      <c r="AG163" s="306">
        <f t="shared" ca="1" si="85"/>
        <v>65.524144716201477</v>
      </c>
      <c r="AH163" s="304">
        <f t="shared" ca="1" si="86"/>
        <v>75.280243179790091</v>
      </c>
    </row>
    <row r="164" spans="1:34" x14ac:dyDescent="0.2">
      <c r="A164" s="347">
        <f t="shared" ca="1" si="64"/>
        <v>0.01</v>
      </c>
      <c r="B164" s="304">
        <f t="shared" ca="1" si="65"/>
        <v>1.6000000000000012</v>
      </c>
      <c r="D164" s="306">
        <f t="shared" ca="1" si="66"/>
        <v>7.8637414820741869</v>
      </c>
      <c r="E164" s="307">
        <f t="shared" ca="1" si="67"/>
        <v>64.837298495723218</v>
      </c>
      <c r="F164" s="304">
        <f t="shared" ca="1" si="68"/>
        <v>65.312431483756654</v>
      </c>
      <c r="G164" s="306">
        <f t="shared" ca="1" si="69"/>
        <v>13.327827097404443</v>
      </c>
      <c r="H164" s="307">
        <f t="shared" ca="1" si="70"/>
        <v>126.41754015770773</v>
      </c>
      <c r="I164" s="304">
        <f t="shared" ca="1" si="71"/>
        <v>127.11815540930397</v>
      </c>
      <c r="J164" s="306">
        <f t="shared" ca="1" si="72"/>
        <v>10.503994638383066</v>
      </c>
      <c r="K164" s="307">
        <f t="shared" ca="1" si="73"/>
        <v>105.39333250181311</v>
      </c>
      <c r="L164" s="304">
        <f t="shared" ca="1" si="58"/>
        <v>105.91547780754669</v>
      </c>
      <c r="M164" s="306">
        <f t="shared" ca="1" si="74"/>
        <v>1.4657573044246381</v>
      </c>
      <c r="N164" s="304">
        <f t="shared" ca="1" si="75"/>
        <v>83.981707334003957</v>
      </c>
      <c r="P164" s="310">
        <f t="shared" ca="1" si="76"/>
        <v>5</v>
      </c>
      <c r="Q164" s="304">
        <f t="shared" ca="1" si="77"/>
        <v>645.12999999999977</v>
      </c>
      <c r="R164" s="306">
        <f t="shared" ca="1" si="78"/>
        <v>0.32376068928326768</v>
      </c>
      <c r="S164" s="307">
        <f t="shared" ca="1" si="79"/>
        <v>7.9119127222025183</v>
      </c>
      <c r="T164" s="304">
        <f t="shared" ca="1" si="59"/>
        <v>77.615863804806708</v>
      </c>
      <c r="U164" s="311">
        <f t="shared" ca="1" si="60"/>
        <v>0</v>
      </c>
      <c r="V164" s="306">
        <f t="shared" ca="1" si="61"/>
        <v>1.212156995122696</v>
      </c>
      <c r="W164" s="304">
        <f t="shared" ca="1" si="62"/>
        <v>51.78320661907803</v>
      </c>
      <c r="Y164" s="314" t="str">
        <f t="shared" ca="1" si="80"/>
        <v/>
      </c>
      <c r="Z164" s="315" t="str">
        <f t="shared" ca="1" si="81"/>
        <v/>
      </c>
      <c r="AA164" s="316" t="str">
        <f t="shared" ca="1" si="82"/>
        <v/>
      </c>
      <c r="AC164" s="310" t="e">
        <f t="shared" ca="1" si="83"/>
        <v>#N/A</v>
      </c>
      <c r="AD164" s="323" t="e">
        <f t="shared" ca="1" si="84"/>
        <v>#N/A</v>
      </c>
      <c r="AE164" s="324">
        <f t="shared" ca="1" si="63"/>
        <v>105.39333250181311</v>
      </c>
      <c r="AG164" s="306">
        <f t="shared" ca="1" si="85"/>
        <v>65.304344692611323</v>
      </c>
      <c r="AH164" s="304">
        <f t="shared" ca="1" si="86"/>
        <v>75.060359730063212</v>
      </c>
    </row>
    <row r="165" spans="1:34" x14ac:dyDescent="0.2">
      <c r="A165" s="347">
        <f t="shared" ca="1" si="64"/>
        <v>0.01</v>
      </c>
      <c r="B165" s="304">
        <f t="shared" ca="1" si="65"/>
        <v>1.6100000000000012</v>
      </c>
      <c r="D165" s="306">
        <f t="shared" ca="1" si="66"/>
        <v>7.8466861083014683</v>
      </c>
      <c r="E165" s="307">
        <f t="shared" ca="1" si="67"/>
        <v>64.617642927203789</v>
      </c>
      <c r="F165" s="304">
        <f t="shared" ca="1" si="68"/>
        <v>65.092321055173784</v>
      </c>
      <c r="G165" s="306">
        <f t="shared" ca="1" si="69"/>
        <v>13.406293958487458</v>
      </c>
      <c r="H165" s="307">
        <f t="shared" ca="1" si="70"/>
        <v>127.06371658697977</v>
      </c>
      <c r="I165" s="304">
        <f t="shared" ca="1" si="71"/>
        <v>127.76899776783762</v>
      </c>
      <c r="J165" s="306">
        <f t="shared" ca="1" si="72"/>
        <v>10.637665243662525</v>
      </c>
      <c r="K165" s="307">
        <f t="shared" ca="1" si="73"/>
        <v>106.66073878553654</v>
      </c>
      <c r="L165" s="304">
        <f t="shared" ca="1" si="58"/>
        <v>107.18989280763688</v>
      </c>
      <c r="M165" s="306">
        <f t="shared" ca="1" si="74"/>
        <v>1.4656768045345503</v>
      </c>
      <c r="N165" s="304">
        <f t="shared" ca="1" si="75"/>
        <v>83.977095030050648</v>
      </c>
      <c r="P165" s="310">
        <f t="shared" ca="1" si="76"/>
        <v>5</v>
      </c>
      <c r="Q165" s="304">
        <f t="shared" ca="1" si="77"/>
        <v>643.66999999999985</v>
      </c>
      <c r="R165" s="306">
        <f t="shared" ca="1" si="78"/>
        <v>0.32302798330717986</v>
      </c>
      <c r="S165" s="307">
        <f t="shared" ca="1" si="79"/>
        <v>7.9086824423694466</v>
      </c>
      <c r="T165" s="304">
        <f t="shared" ca="1" si="59"/>
        <v>77.58417475964427</v>
      </c>
      <c r="U165" s="311">
        <f t="shared" ca="1" si="60"/>
        <v>0</v>
      </c>
      <c r="V165" s="306">
        <f t="shared" ca="1" si="61"/>
        <v>1.2120033710013081</v>
      </c>
      <c r="W165" s="304">
        <f t="shared" ca="1" si="62"/>
        <v>52.308191814154682</v>
      </c>
      <c r="Y165" s="314" t="str">
        <f t="shared" ca="1" si="80"/>
        <v/>
      </c>
      <c r="Z165" s="315" t="str">
        <f t="shared" ca="1" si="81"/>
        <v/>
      </c>
      <c r="AA165" s="316" t="str">
        <f t="shared" ca="1" si="82"/>
        <v/>
      </c>
      <c r="AC165" s="310" t="e">
        <f t="shared" ca="1" si="83"/>
        <v>#N/A</v>
      </c>
      <c r="AD165" s="323" t="e">
        <f t="shared" ca="1" si="84"/>
        <v>#N/A</v>
      </c>
      <c r="AE165" s="324">
        <f t="shared" ca="1" si="63"/>
        <v>106.66073878553654</v>
      </c>
      <c r="AG165" s="306">
        <f t="shared" ca="1" si="85"/>
        <v>65.084194454726259</v>
      </c>
      <c r="AH165" s="304">
        <f t="shared" ca="1" si="86"/>
        <v>74.840126366686206</v>
      </c>
    </row>
    <row r="166" spans="1:34" x14ac:dyDescent="0.2">
      <c r="A166" s="347">
        <f t="shared" ca="1" si="64"/>
        <v>0.01</v>
      </c>
      <c r="B166" s="304">
        <f t="shared" ca="1" si="65"/>
        <v>1.6200000000000012</v>
      </c>
      <c r="D166" s="306">
        <f t="shared" ca="1" si="66"/>
        <v>7.82953301204246</v>
      </c>
      <c r="E166" s="307">
        <f t="shared" ca="1" si="67"/>
        <v>64.397649536188936</v>
      </c>
      <c r="F166" s="304">
        <f t="shared" ca="1" si="68"/>
        <v>64.871864879718672</v>
      </c>
      <c r="G166" s="306">
        <f t="shared" ca="1" si="69"/>
        <v>13.484589288607882</v>
      </c>
      <c r="H166" s="307">
        <f t="shared" ca="1" si="70"/>
        <v>127.70769308234165</v>
      </c>
      <c r="I166" s="304">
        <f t="shared" ca="1" si="71"/>
        <v>128.41763516237171</v>
      </c>
      <c r="J166" s="306">
        <f t="shared" ca="1" si="72"/>
        <v>10.772119659898001</v>
      </c>
      <c r="K166" s="307">
        <f t="shared" ca="1" si="73"/>
        <v>107.93459583388315</v>
      </c>
      <c r="L166" s="304">
        <f t="shared" ca="1" si="58"/>
        <v>108.47080501126037</v>
      </c>
      <c r="M166" s="306">
        <f t="shared" ca="1" si="74"/>
        <v>1.4655966500935738</v>
      </c>
      <c r="N166" s="304">
        <f t="shared" ca="1" si="75"/>
        <v>83.972502518873469</v>
      </c>
      <c r="P166" s="310">
        <f t="shared" ca="1" si="76"/>
        <v>5</v>
      </c>
      <c r="Q166" s="304">
        <f t="shared" ca="1" si="77"/>
        <v>642.20999999999981</v>
      </c>
      <c r="R166" s="306">
        <f t="shared" ca="1" si="78"/>
        <v>0.32229527733109198</v>
      </c>
      <c r="S166" s="307">
        <f t="shared" ca="1" si="79"/>
        <v>7.9054594895961356</v>
      </c>
      <c r="T166" s="304">
        <f t="shared" ca="1" si="59"/>
        <v>77.552557592938101</v>
      </c>
      <c r="U166" s="311">
        <f t="shared" ca="1" si="60"/>
        <v>0</v>
      </c>
      <c r="V166" s="306">
        <f t="shared" ca="1" si="61"/>
        <v>1.2118489844875566</v>
      </c>
      <c r="W166" s="304">
        <f t="shared" ca="1" si="62"/>
        <v>52.833908881936928</v>
      </c>
      <c r="Y166" s="314" t="str">
        <f t="shared" ca="1" si="80"/>
        <v/>
      </c>
      <c r="Z166" s="315" t="str">
        <f t="shared" ca="1" si="81"/>
        <v/>
      </c>
      <c r="AA166" s="316" t="str">
        <f t="shared" ca="1" si="82"/>
        <v/>
      </c>
      <c r="AC166" s="310" t="e">
        <f t="shared" ca="1" si="83"/>
        <v>#N/A</v>
      </c>
      <c r="AD166" s="323" t="e">
        <f t="shared" ca="1" si="84"/>
        <v>#N/A</v>
      </c>
      <c r="AE166" s="324">
        <f t="shared" ca="1" si="63"/>
        <v>107.93459583388315</v>
      </c>
      <c r="AG166" s="306">
        <f t="shared" ca="1" si="85"/>
        <v>64.863698200951632</v>
      </c>
      <c r="AH166" s="304">
        <f t="shared" ca="1" si="86"/>
        <v>74.61954728402273</v>
      </c>
    </row>
    <row r="167" spans="1:34" x14ac:dyDescent="0.2">
      <c r="A167" s="347">
        <f t="shared" ca="1" si="64"/>
        <v>0.01</v>
      </c>
      <c r="B167" s="304">
        <f t="shared" ca="1" si="65"/>
        <v>1.6300000000000012</v>
      </c>
      <c r="D167" s="306">
        <f t="shared" ca="1" si="66"/>
        <v>7.8122831266168493</v>
      </c>
      <c r="E167" s="307">
        <f t="shared" ca="1" si="67"/>
        <v>64.177322450318343</v>
      </c>
      <c r="F167" s="304">
        <f t="shared" ca="1" si="68"/>
        <v>64.651067157028095</v>
      </c>
      <c r="G167" s="306">
        <f t="shared" ca="1" si="69"/>
        <v>13.562712119874051</v>
      </c>
      <c r="H167" s="307">
        <f t="shared" ca="1" si="70"/>
        <v>128.34946630684485</v>
      </c>
      <c r="I167" s="304">
        <f t="shared" ca="1" si="71"/>
        <v>129.06406417472866</v>
      </c>
      <c r="J167" s="306">
        <f t="shared" ca="1" si="72"/>
        <v>10.90735616694041</v>
      </c>
      <c r="K167" s="307">
        <f t="shared" ca="1" si="73"/>
        <v>109.21488163082908</v>
      </c>
      <c r="L167" s="304">
        <f t="shared" ca="1" si="58"/>
        <v>109.75819235113387</v>
      </c>
      <c r="M167" s="306">
        <f t="shared" ca="1" si="74"/>
        <v>1.4655168365255062</v>
      </c>
      <c r="N167" s="304">
        <f t="shared" ca="1" si="75"/>
        <v>83.967929538275314</v>
      </c>
      <c r="P167" s="310">
        <f t="shared" ca="1" si="76"/>
        <v>5</v>
      </c>
      <c r="Q167" s="304">
        <f t="shared" ca="1" si="77"/>
        <v>640.74999999999977</v>
      </c>
      <c r="R167" s="306">
        <f t="shared" ca="1" si="78"/>
        <v>0.32156257135500405</v>
      </c>
      <c r="S167" s="307">
        <f t="shared" ca="1" si="79"/>
        <v>7.9022438638825854</v>
      </c>
      <c r="T167" s="304">
        <f t="shared" ca="1" si="59"/>
        <v>77.521012304688171</v>
      </c>
      <c r="U167" s="311">
        <f t="shared" ca="1" si="60"/>
        <v>0</v>
      </c>
      <c r="V167" s="306">
        <f t="shared" ca="1" si="61"/>
        <v>1.2116938385426497</v>
      </c>
      <c r="W167" s="304">
        <f t="shared" ca="1" si="62"/>
        <v>53.360326288470326</v>
      </c>
      <c r="Y167" s="314" t="str">
        <f t="shared" ca="1" si="80"/>
        <v/>
      </c>
      <c r="Z167" s="315" t="str">
        <f t="shared" ca="1" si="81"/>
        <v/>
      </c>
      <c r="AA167" s="316" t="str">
        <f t="shared" ca="1" si="82"/>
        <v/>
      </c>
      <c r="AC167" s="310" t="e">
        <f t="shared" ca="1" si="83"/>
        <v>#N/A</v>
      </c>
      <c r="AD167" s="323" t="e">
        <f t="shared" ca="1" si="84"/>
        <v>#N/A</v>
      </c>
      <c r="AE167" s="324">
        <f t="shared" ca="1" si="63"/>
        <v>109.21488163082908</v>
      </c>
      <c r="AG167" s="306">
        <f t="shared" ca="1" si="85"/>
        <v>64.642860127460736</v>
      </c>
      <c r="AH167" s="304">
        <f t="shared" ca="1" si="86"/>
        <v>74.39862667427272</v>
      </c>
    </row>
    <row r="168" spans="1:34" x14ac:dyDescent="0.2">
      <c r="A168" s="347">
        <f t="shared" ca="1" si="64"/>
        <v>0.01</v>
      </c>
      <c r="B168" s="304">
        <f t="shared" ca="1" si="65"/>
        <v>1.6400000000000012</v>
      </c>
      <c r="D168" s="306">
        <f t="shared" ca="1" si="66"/>
        <v>7.7949373769545467</v>
      </c>
      <c r="E168" s="307">
        <f t="shared" ca="1" si="67"/>
        <v>63.956665795504989</v>
      </c>
      <c r="F168" s="304">
        <f t="shared" ca="1" si="68"/>
        <v>64.429932084308149</v>
      </c>
      <c r="G168" s="306">
        <f t="shared" ca="1" si="69"/>
        <v>13.640661493643597</v>
      </c>
      <c r="H168" s="307">
        <f t="shared" ca="1" si="70"/>
        <v>128.98903296479989</v>
      </c>
      <c r="I168" s="304">
        <f t="shared" ca="1" si="71"/>
        <v>129.70828142866748</v>
      </c>
      <c r="J168" s="306">
        <f t="shared" ca="1" si="72"/>
        <v>11.043373035007999</v>
      </c>
      <c r="K168" s="307">
        <f t="shared" ca="1" si="73"/>
        <v>110.50157412718731</v>
      </c>
      <c r="L168" s="304">
        <f t="shared" ca="1" si="58"/>
        <v>111.05203272600018</v>
      </c>
      <c r="M168" s="306">
        <f t="shared" ca="1" si="74"/>
        <v>1.4654373593344585</v>
      </c>
      <c r="N168" s="304">
        <f t="shared" ca="1" si="75"/>
        <v>83.963375830660723</v>
      </c>
      <c r="P168" s="310">
        <f t="shared" ca="1" si="76"/>
        <v>5</v>
      </c>
      <c r="Q168" s="304">
        <f t="shared" ca="1" si="77"/>
        <v>639.28999999999985</v>
      </c>
      <c r="R168" s="306">
        <f t="shared" ca="1" si="78"/>
        <v>0.32082986537891622</v>
      </c>
      <c r="S168" s="307">
        <f t="shared" ca="1" si="79"/>
        <v>7.8990355652287958</v>
      </c>
      <c r="T168" s="304">
        <f t="shared" ca="1" si="59"/>
        <v>77.489538894894494</v>
      </c>
      <c r="U168" s="311">
        <f t="shared" ca="1" si="60"/>
        <v>0</v>
      </c>
      <c r="V168" s="306">
        <f t="shared" ca="1" si="61"/>
        <v>1.211537936131841</v>
      </c>
      <c r="W168" s="304">
        <f t="shared" ca="1" si="62"/>
        <v>53.887412589261515</v>
      </c>
      <c r="Y168" s="314" t="str">
        <f t="shared" ca="1" si="80"/>
        <v/>
      </c>
      <c r="Z168" s="315" t="str">
        <f t="shared" ca="1" si="81"/>
        <v/>
      </c>
      <c r="AA168" s="316" t="str">
        <f t="shared" ca="1" si="82"/>
        <v/>
      </c>
      <c r="AC168" s="310" t="e">
        <f t="shared" ca="1" si="83"/>
        <v>#N/A</v>
      </c>
      <c r="AD168" s="323" t="e">
        <f t="shared" ca="1" si="84"/>
        <v>#N/A</v>
      </c>
      <c r="AE168" s="324">
        <f t="shared" ca="1" si="63"/>
        <v>110.50157412718731</v>
      </c>
      <c r="AG168" s="306">
        <f t="shared" ca="1" si="85"/>
        <v>64.421684427960287</v>
      </c>
      <c r="AH168" s="304">
        <f t="shared" ca="1" si="86"/>
        <v>74.177368727236271</v>
      </c>
    </row>
    <row r="169" spans="1:34" x14ac:dyDescent="0.2">
      <c r="A169" s="347">
        <f t="shared" ca="1" si="64"/>
        <v>0.01</v>
      </c>
      <c r="B169" s="304">
        <f t="shared" ca="1" si="65"/>
        <v>1.6500000000000012</v>
      </c>
      <c r="D169" s="306">
        <f t="shared" ca="1" si="66"/>
        <v>7.777496679777343</v>
      </c>
      <c r="E169" s="307">
        <f t="shared" ca="1" si="67"/>
        <v>63.735683695685012</v>
      </c>
      <c r="F169" s="304">
        <f t="shared" ca="1" si="68"/>
        <v>64.208463856101986</v>
      </c>
      <c r="G169" s="306">
        <f t="shared" ca="1" si="69"/>
        <v>13.718436460441371</v>
      </c>
      <c r="H169" s="307">
        <f t="shared" ca="1" si="70"/>
        <v>129.62638980175674</v>
      </c>
      <c r="I169" s="304">
        <f t="shared" ca="1" si="71"/>
        <v>130.35028358985701</v>
      </c>
      <c r="J169" s="306">
        <f t="shared" ca="1" si="72"/>
        <v>11.180168524778423</v>
      </c>
      <c r="K169" s="307">
        <f t="shared" ca="1" si="73"/>
        <v>111.79465124102009</v>
      </c>
      <c r="L169" s="304">
        <f t="shared" ca="1" si="58"/>
        <v>112.35230400104734</v>
      </c>
      <c r="M169" s="306">
        <f t="shared" ca="1" si="74"/>
        <v>1.465358214102928</v>
      </c>
      <c r="N169" s="304">
        <f t="shared" ca="1" si="75"/>
        <v>83.958841142925436</v>
      </c>
      <c r="P169" s="310">
        <f t="shared" ca="1" si="76"/>
        <v>5</v>
      </c>
      <c r="Q169" s="304">
        <f t="shared" ca="1" si="77"/>
        <v>637.82999999999981</v>
      </c>
      <c r="R169" s="306">
        <f t="shared" ca="1" si="78"/>
        <v>0.32009715940282835</v>
      </c>
      <c r="S169" s="307">
        <f t="shared" ca="1" si="79"/>
        <v>7.8958345936347678</v>
      </c>
      <c r="T169" s="304">
        <f t="shared" ca="1" si="59"/>
        <v>77.458137363557071</v>
      </c>
      <c r="U169" s="311">
        <f t="shared" ca="1" si="60"/>
        <v>0</v>
      </c>
      <c r="V169" s="306">
        <f t="shared" ca="1" si="61"/>
        <v>1.2113812802243586</v>
      </c>
      <c r="W169" s="304">
        <f t="shared" ca="1" si="62"/>
        <v>54.415136430771611</v>
      </c>
      <c r="Y169" s="314" t="str">
        <f t="shared" ca="1" si="80"/>
        <v/>
      </c>
      <c r="Z169" s="315" t="str">
        <f t="shared" ca="1" si="81"/>
        <v/>
      </c>
      <c r="AA169" s="316" t="str">
        <f t="shared" ca="1" si="82"/>
        <v/>
      </c>
      <c r="AC169" s="310" t="e">
        <f t="shared" ca="1" si="83"/>
        <v>#N/A</v>
      </c>
      <c r="AD169" s="323" t="e">
        <f t="shared" ca="1" si="84"/>
        <v>#N/A</v>
      </c>
      <c r="AE169" s="324">
        <f t="shared" ca="1" si="63"/>
        <v>111.79465124102009</v>
      </c>
      <c r="AG169" s="306">
        <f t="shared" ca="1" si="85"/>
        <v>64.200175293457377</v>
      </c>
      <c r="AH169" s="304">
        <f t="shared" ca="1" si="86"/>
        <v>73.955777630079027</v>
      </c>
    </row>
    <row r="170" spans="1:34" x14ac:dyDescent="0.2">
      <c r="A170" s="347">
        <f t="shared" ca="1" si="64"/>
        <v>0.01</v>
      </c>
      <c r="B170" s="304">
        <f t="shared" ca="1" si="65"/>
        <v>1.6600000000000013</v>
      </c>
      <c r="D170" s="306">
        <f t="shared" ca="1" si="66"/>
        <v>7.759961943774309</v>
      </c>
      <c r="E170" s="307">
        <f t="shared" ca="1" si="67"/>
        <v>63.514380272569582</v>
      </c>
      <c r="F170" s="304">
        <f t="shared" ca="1" si="68"/>
        <v>63.986666664059015</v>
      </c>
      <c r="G170" s="306">
        <f t="shared" ca="1" si="69"/>
        <v>13.796036079879114</v>
      </c>
      <c r="H170" s="307">
        <f t="shared" ca="1" si="70"/>
        <v>130.26153360448245</v>
      </c>
      <c r="I170" s="304">
        <f t="shared" ca="1" si="71"/>
        <v>130.99006736584661</v>
      </c>
      <c r="J170" s="306">
        <f t="shared" ca="1" si="72"/>
        <v>11.317740887480026</v>
      </c>
      <c r="K170" s="307">
        <f t="shared" ca="1" si="73"/>
        <v>113.09409085805129</v>
      </c>
      <c r="L170" s="304">
        <f t="shared" ca="1" si="58"/>
        <v>113.65898400832772</v>
      </c>
      <c r="M170" s="306">
        <f t="shared" ca="1" si="74"/>
        <v>1.4652793964899284</v>
      </c>
      <c r="N170" s="304">
        <f t="shared" ca="1" si="75"/>
        <v>83.954325226349269</v>
      </c>
      <c r="P170" s="310">
        <f t="shared" ca="1" si="76"/>
        <v>5</v>
      </c>
      <c r="Q170" s="304">
        <f t="shared" ca="1" si="77"/>
        <v>636.36999999999978</v>
      </c>
      <c r="R170" s="306">
        <f t="shared" ca="1" si="78"/>
        <v>0.31936445342674041</v>
      </c>
      <c r="S170" s="307">
        <f t="shared" ca="1" si="79"/>
        <v>7.8926409491005005</v>
      </c>
      <c r="T170" s="304">
        <f t="shared" ca="1" si="59"/>
        <v>77.426807710675916</v>
      </c>
      <c r="U170" s="311">
        <f t="shared" ca="1" si="60"/>
        <v>0</v>
      </c>
      <c r="V170" s="306">
        <f t="shared" ca="1" si="61"/>
        <v>1.211223873793333</v>
      </c>
      <c r="W170" s="304">
        <f t="shared" ca="1" si="62"/>
        <v>54.943466551895504</v>
      </c>
      <c r="Y170" s="314" t="str">
        <f t="shared" ca="1" si="80"/>
        <v/>
      </c>
      <c r="Z170" s="315" t="str">
        <f t="shared" ca="1" si="81"/>
        <v/>
      </c>
      <c r="AA170" s="316" t="str">
        <f t="shared" ca="1" si="82"/>
        <v/>
      </c>
      <c r="AC170" s="310" t="e">
        <f t="shared" ca="1" si="83"/>
        <v>#N/A</v>
      </c>
      <c r="AD170" s="323" t="e">
        <f t="shared" ca="1" si="84"/>
        <v>#N/A</v>
      </c>
      <c r="AE170" s="324">
        <f t="shared" ca="1" si="63"/>
        <v>113.09409085805129</v>
      </c>
      <c r="AG170" s="306">
        <f t="shared" ca="1" si="85"/>
        <v>63.978336912027679</v>
      </c>
      <c r="AH170" s="304">
        <f t="shared" ca="1" si="86"/>
        <v>73.733857567098838</v>
      </c>
    </row>
    <row r="171" spans="1:34" x14ac:dyDescent="0.2">
      <c r="A171" s="347">
        <f t="shared" ca="1" si="64"/>
        <v>0.01</v>
      </c>
      <c r="B171" s="304">
        <f t="shared" ca="1" si="65"/>
        <v>1.6700000000000013</v>
      </c>
      <c r="D171" s="306">
        <f t="shared" ca="1" si="66"/>
        <v>7.7423340697713003</v>
      </c>
      <c r="E171" s="307">
        <f t="shared" ca="1" si="67"/>
        <v>63.292759645398178</v>
      </c>
      <c r="F171" s="304">
        <f t="shared" ca="1" si="68"/>
        <v>63.764544696704966</v>
      </c>
      <c r="G171" s="306">
        <f t="shared" ca="1" si="69"/>
        <v>13.873459420576827</v>
      </c>
      <c r="H171" s="307">
        <f t="shared" ca="1" si="70"/>
        <v>130.89446120093643</v>
      </c>
      <c r="I171" s="304">
        <f t="shared" ca="1" si="71"/>
        <v>131.62762950603437</v>
      </c>
      <c r="J171" s="306">
        <f t="shared" ca="1" si="72"/>
        <v>11.456088364982305</v>
      </c>
      <c r="K171" s="307">
        <f t="shared" ca="1" si="73"/>
        <v>114.39987083207838</v>
      </c>
      <c r="L171" s="304">
        <f t="shared" ca="1" si="58"/>
        <v>114.97205054717647</v>
      </c>
      <c r="M171" s="306">
        <f t="shared" ca="1" si="74"/>
        <v>1.465200902229175</v>
      </c>
      <c r="N171" s="304">
        <f t="shared" ca="1" si="75"/>
        <v>83.949827836492105</v>
      </c>
      <c r="P171" s="310">
        <f t="shared" ca="1" si="76"/>
        <v>5</v>
      </c>
      <c r="Q171" s="304">
        <f t="shared" ca="1" si="77"/>
        <v>634.90999999999985</v>
      </c>
      <c r="R171" s="306">
        <f t="shared" ca="1" si="78"/>
        <v>0.31863174745065259</v>
      </c>
      <c r="S171" s="307">
        <f t="shared" ca="1" si="79"/>
        <v>7.8894546316259939</v>
      </c>
      <c r="T171" s="304">
        <f t="shared" ca="1" si="59"/>
        <v>77.395549936251001</v>
      </c>
      <c r="U171" s="311">
        <f t="shared" ca="1" si="60"/>
        <v>0</v>
      </c>
      <c r="V171" s="306">
        <f t="shared" ca="1" si="61"/>
        <v>1.2110657198157313</v>
      </c>
      <c r="W171" s="304">
        <f t="shared" ca="1" si="62"/>
        <v>55.472371785427008</v>
      </c>
      <c r="Y171" s="314" t="str">
        <f t="shared" ca="1" si="80"/>
        <v/>
      </c>
      <c r="Z171" s="315" t="str">
        <f t="shared" ca="1" si="81"/>
        <v/>
      </c>
      <c r="AA171" s="316" t="str">
        <f t="shared" ca="1" si="82"/>
        <v/>
      </c>
      <c r="AC171" s="310" t="e">
        <f t="shared" ca="1" si="83"/>
        <v>#N/A</v>
      </c>
      <c r="AD171" s="323" t="e">
        <f t="shared" ca="1" si="84"/>
        <v>#N/A</v>
      </c>
      <c r="AE171" s="324">
        <f t="shared" ca="1" si="63"/>
        <v>114.39987083207838</v>
      </c>
      <c r="AG171" s="306">
        <f t="shared" ca="1" si="85"/>
        <v>63.756173468584663</v>
      </c>
      <c r="AH171" s="304">
        <f t="shared" ca="1" si="86"/>
        <v>73.511612719493499</v>
      </c>
    </row>
    <row r="172" spans="1:34" x14ac:dyDescent="0.2">
      <c r="A172" s="347">
        <f t="shared" ca="1" si="64"/>
        <v>0.01</v>
      </c>
      <c r="B172" s="304">
        <f t="shared" ca="1" si="65"/>
        <v>1.6800000000000013</v>
      </c>
      <c r="D172" s="306">
        <f t="shared" ca="1" si="66"/>
        <v>7.724613950894728</v>
      </c>
      <c r="E172" s="307">
        <f t="shared" ca="1" si="67"/>
        <v>63.070825930693658</v>
      </c>
      <c r="F172" s="304">
        <f t="shared" ca="1" si="68"/>
        <v>63.542102139213313</v>
      </c>
      <c r="G172" s="306">
        <f t="shared" ca="1" si="69"/>
        <v>13.950705560085774</v>
      </c>
      <c r="H172" s="307">
        <f t="shared" ca="1" si="70"/>
        <v>131.52516946024338</v>
      </c>
      <c r="I172" s="304">
        <f t="shared" ca="1" si="71"/>
        <v>132.26296680163327</v>
      </c>
      <c r="J172" s="306">
        <f t="shared" ca="1" si="72"/>
        <v>11.595209189885619</v>
      </c>
      <c r="K172" s="307">
        <f t="shared" ca="1" si="73"/>
        <v>115.71196898538427</v>
      </c>
      <c r="L172" s="304">
        <f t="shared" ca="1" si="58"/>
        <v>116.29148138462998</v>
      </c>
      <c r="M172" s="306">
        <f t="shared" ca="1" si="74"/>
        <v>1.4651227271273244</v>
      </c>
      <c r="N172" s="304">
        <f t="shared" ca="1" si="75"/>
        <v>83.945348733093056</v>
      </c>
      <c r="P172" s="310">
        <f t="shared" ca="1" si="76"/>
        <v>5</v>
      </c>
      <c r="Q172" s="304">
        <f t="shared" ca="1" si="77"/>
        <v>633.44999999999982</v>
      </c>
      <c r="R172" s="306">
        <f t="shared" ca="1" si="78"/>
        <v>0.31789904147456471</v>
      </c>
      <c r="S172" s="307">
        <f t="shared" ca="1" si="79"/>
        <v>7.886275641211248</v>
      </c>
      <c r="T172" s="304">
        <f t="shared" ca="1" si="59"/>
        <v>77.364364040282354</v>
      </c>
      <c r="U172" s="311">
        <f t="shared" ca="1" si="60"/>
        <v>0</v>
      </c>
      <c r="V172" s="306">
        <f t="shared" ca="1" si="61"/>
        <v>1.2109068212722831</v>
      </c>
      <c r="W172" s="304">
        <f t="shared" ca="1" si="62"/>
        <v>56.001821059509417</v>
      </c>
      <c r="Y172" s="314" t="str">
        <f t="shared" ca="1" si="80"/>
        <v/>
      </c>
      <c r="Z172" s="315" t="str">
        <f t="shared" ca="1" si="81"/>
        <v/>
      </c>
      <c r="AA172" s="316" t="str">
        <f t="shared" ca="1" si="82"/>
        <v/>
      </c>
      <c r="AC172" s="310" t="e">
        <f t="shared" ca="1" si="83"/>
        <v>#N/A</v>
      </c>
      <c r="AD172" s="323" t="e">
        <f t="shared" ca="1" si="84"/>
        <v>#N/A</v>
      </c>
      <c r="AE172" s="324">
        <f t="shared" ca="1" si="63"/>
        <v>115.71196898538427</v>
      </c>
      <c r="AG172" s="306">
        <f t="shared" ca="1" si="85"/>
        <v>63.533689144650076</v>
      </c>
      <c r="AH172" s="304">
        <f t="shared" ca="1" si="86"/>
        <v>73.289047265129781</v>
      </c>
    </row>
    <row r="173" spans="1:34" x14ac:dyDescent="0.2">
      <c r="A173" s="347">
        <f t="shared" ca="1" si="64"/>
        <v>0.01</v>
      </c>
      <c r="B173" s="304">
        <f t="shared" ca="1" si="65"/>
        <v>1.6900000000000013</v>
      </c>
      <c r="D173" s="306">
        <f t="shared" ca="1" si="66"/>
        <v>7.7068024727296756</v>
      </c>
      <c r="E173" s="307">
        <f t="shared" ca="1" si="67"/>
        <v>62.848583242019345</v>
      </c>
      <c r="F173" s="304">
        <f t="shared" ca="1" si="68"/>
        <v>63.319343173178183</v>
      </c>
      <c r="G173" s="306">
        <f t="shared" ca="1" si="69"/>
        <v>14.027773584813071</v>
      </c>
      <c r="H173" s="307">
        <f t="shared" ca="1" si="70"/>
        <v>132.15365529266356</v>
      </c>
      <c r="I173" s="304">
        <f t="shared" ca="1" si="71"/>
        <v>132.89607608563512</v>
      </c>
      <c r="J173" s="306">
        <f t="shared" ca="1" si="72"/>
        <v>11.735101585610114</v>
      </c>
      <c r="K173" s="307">
        <f t="shared" ca="1" si="73"/>
        <v>117.03036310914881</v>
      </c>
      <c r="L173" s="304">
        <f t="shared" ca="1" si="58"/>
        <v>117.6172542558438</v>
      </c>
      <c r="M173" s="306">
        <f t="shared" ca="1" si="74"/>
        <v>1.4650448670622642</v>
      </c>
      <c r="N173" s="304">
        <f t="shared" ca="1" si="75"/>
        <v>83.940887679972491</v>
      </c>
      <c r="P173" s="310">
        <f t="shared" ca="1" si="76"/>
        <v>5</v>
      </c>
      <c r="Q173" s="304">
        <f t="shared" ca="1" si="77"/>
        <v>631.98999999999978</v>
      </c>
      <c r="R173" s="306">
        <f t="shared" ca="1" si="78"/>
        <v>0.31716633549847684</v>
      </c>
      <c r="S173" s="307">
        <f t="shared" ca="1" si="79"/>
        <v>7.8831039778562628</v>
      </c>
      <c r="T173" s="304">
        <f t="shared" ca="1" si="59"/>
        <v>77.333250022769946</v>
      </c>
      <c r="U173" s="311">
        <f t="shared" ca="1" si="60"/>
        <v>0</v>
      </c>
      <c r="V173" s="306">
        <f t="shared" ca="1" si="61"/>
        <v>1.2107471811474118</v>
      </c>
      <c r="W173" s="304">
        <f t="shared" ca="1" si="62"/>
        <v>56.531783399072133</v>
      </c>
      <c r="Y173" s="314" t="str">
        <f t="shared" ca="1" si="80"/>
        <v/>
      </c>
      <c r="Z173" s="315" t="str">
        <f t="shared" ca="1" si="81"/>
        <v/>
      </c>
      <c r="AA173" s="316" t="str">
        <f t="shared" ca="1" si="82"/>
        <v/>
      </c>
      <c r="AC173" s="310" t="e">
        <f t="shared" ca="1" si="83"/>
        <v>#N/A</v>
      </c>
      <c r="AD173" s="323" t="e">
        <f t="shared" ca="1" si="84"/>
        <v>#N/A</v>
      </c>
      <c r="AE173" s="324">
        <f t="shared" ca="1" si="63"/>
        <v>117.03036310914881</v>
      </c>
      <c r="AG173" s="306">
        <f t="shared" ca="1" si="85"/>
        <v>63.31088811812586</v>
      </c>
      <c r="AH173" s="304">
        <f t="shared" ca="1" si="86"/>
        <v>73.066165378313968</v>
      </c>
    </row>
    <row r="174" spans="1:34" x14ac:dyDescent="0.2">
      <c r="A174" s="347">
        <f t="shared" ca="1" si="64"/>
        <v>0.01</v>
      </c>
      <c r="B174" s="304">
        <f t="shared" ca="1" si="65"/>
        <v>1.7000000000000013</v>
      </c>
      <c r="D174" s="306">
        <f t="shared" ca="1" si="66"/>
        <v>7.6889005134728592</v>
      </c>
      <c r="E174" s="307">
        <f t="shared" ca="1" si="67"/>
        <v>62.626035689737535</v>
      </c>
      <c r="F174" s="304">
        <f t="shared" ca="1" si="68"/>
        <v>63.096271976388294</v>
      </c>
      <c r="G174" s="306">
        <f t="shared" ca="1" si="69"/>
        <v>14.104662589947798</v>
      </c>
      <c r="H174" s="307">
        <f t="shared" ca="1" si="70"/>
        <v>132.77991564956093</v>
      </c>
      <c r="I174" s="304">
        <f t="shared" ca="1" si="71"/>
        <v>133.526954232772</v>
      </c>
      <c r="J174" s="306">
        <f t="shared" ca="1" si="72"/>
        <v>11.875763766483917</v>
      </c>
      <c r="K174" s="307">
        <f t="shared" ca="1" si="73"/>
        <v>118.35503096385993</v>
      </c>
      <c r="L174" s="304">
        <f t="shared" ca="1" si="58"/>
        <v>118.94934686451026</v>
      </c>
      <c r="M174" s="306">
        <f t="shared" ca="1" si="74"/>
        <v>1.4649673179814546</v>
      </c>
      <c r="N174" s="304">
        <f t="shared" ca="1" si="75"/>
        <v>83.936444444936981</v>
      </c>
      <c r="P174" s="310">
        <f t="shared" ca="1" si="76"/>
        <v>5</v>
      </c>
      <c r="Q174" s="304">
        <f t="shared" ca="1" si="77"/>
        <v>630.52999999999975</v>
      </c>
      <c r="R174" s="306">
        <f t="shared" ca="1" si="78"/>
        <v>0.3164336295223889</v>
      </c>
      <c r="S174" s="307">
        <f t="shared" ca="1" si="79"/>
        <v>7.8799396415610392</v>
      </c>
      <c r="T174" s="304">
        <f t="shared" ca="1" si="59"/>
        <v>77.302207883713805</v>
      </c>
      <c r="U174" s="311">
        <f t="shared" ca="1" si="60"/>
        <v>0</v>
      </c>
      <c r="V174" s="306">
        <f t="shared" ca="1" si="61"/>
        <v>1.2105868024291666</v>
      </c>
      <c r="W174" s="304">
        <f t="shared" ca="1" si="62"/>
        <v>57.06222792725265</v>
      </c>
      <c r="Y174" s="314" t="str">
        <f t="shared" ca="1" si="80"/>
        <v/>
      </c>
      <c r="Z174" s="315" t="str">
        <f t="shared" ca="1" si="81"/>
        <v/>
      </c>
      <c r="AA174" s="316" t="str">
        <f t="shared" ca="1" si="82"/>
        <v/>
      </c>
      <c r="AC174" s="310" t="e">
        <f t="shared" ca="1" si="83"/>
        <v>#N/A</v>
      </c>
      <c r="AD174" s="323" t="e">
        <f t="shared" ca="1" si="84"/>
        <v>#N/A</v>
      </c>
      <c r="AE174" s="324">
        <f t="shared" ca="1" si="63"/>
        <v>118.35503096385993</v>
      </c>
      <c r="AG174" s="306">
        <f t="shared" ca="1" si="85"/>
        <v>63.087774563067164</v>
      </c>
      <c r="AH174" s="304">
        <f t="shared" ca="1" si="86"/>
        <v>72.842971229563489</v>
      </c>
    </row>
    <row r="175" spans="1:34" x14ac:dyDescent="0.2">
      <c r="A175" s="347">
        <f t="shared" ca="1" si="64"/>
        <v>0.01</v>
      </c>
      <c r="B175" s="304">
        <f t="shared" ca="1" si="65"/>
        <v>1.7100000000000013</v>
      </c>
      <c r="D175" s="306">
        <f t="shared" ca="1" si="66"/>
        <v>7.6709089440802432</v>
      </c>
      <c r="E175" s="307">
        <f t="shared" ca="1" si="67"/>
        <v>62.403187380770007</v>
      </c>
      <c r="F175" s="304">
        <f t="shared" ca="1" si="68"/>
        <v>62.872892722602344</v>
      </c>
      <c r="G175" s="306">
        <f t="shared" ca="1" si="69"/>
        <v>14.181371679388601</v>
      </c>
      <c r="H175" s="307">
        <f t="shared" ca="1" si="70"/>
        <v>133.40394752336863</v>
      </c>
      <c r="I175" s="304">
        <f t="shared" ca="1" si="71"/>
        <v>134.15559815947546</v>
      </c>
      <c r="J175" s="306">
        <f t="shared" ca="1" si="72"/>
        <v>12.0171939378306</v>
      </c>
      <c r="K175" s="307">
        <f t="shared" ca="1" si="73"/>
        <v>119.68595027972458</v>
      </c>
      <c r="L175" s="304">
        <f t="shared" ca="1" si="58"/>
        <v>120.28773688327558</v>
      </c>
      <c r="M175" s="306">
        <f t="shared" ca="1" si="74"/>
        <v>1.4648900759003165</v>
      </c>
      <c r="N175" s="304">
        <f t="shared" ca="1" si="75"/>
        <v>83.932018799686958</v>
      </c>
      <c r="P175" s="310">
        <f t="shared" ca="1" si="76"/>
        <v>5</v>
      </c>
      <c r="Q175" s="304">
        <f t="shared" ca="1" si="77"/>
        <v>629.06999999999982</v>
      </c>
      <c r="R175" s="306">
        <f t="shared" ca="1" si="78"/>
        <v>0.31570092354630108</v>
      </c>
      <c r="S175" s="307">
        <f t="shared" ca="1" si="79"/>
        <v>7.8767826323255763</v>
      </c>
      <c r="T175" s="304">
        <f t="shared" ca="1" si="59"/>
        <v>77.271237623113905</v>
      </c>
      <c r="U175" s="311">
        <f t="shared" ca="1" si="60"/>
        <v>0</v>
      </c>
      <c r="V175" s="306">
        <f t="shared" ca="1" si="61"/>
        <v>1.2104256881091504</v>
      </c>
      <c r="W175" s="304">
        <f t="shared" ca="1" si="62"/>
        <v>57.593123866803772</v>
      </c>
      <c r="Y175" s="314" t="str">
        <f t="shared" ca="1" si="80"/>
        <v/>
      </c>
      <c r="Z175" s="315" t="str">
        <f t="shared" ca="1" si="81"/>
        <v/>
      </c>
      <c r="AA175" s="316" t="str">
        <f t="shared" ca="1" si="82"/>
        <v/>
      </c>
      <c r="AC175" s="310" t="e">
        <f t="shared" ca="1" si="83"/>
        <v>#N/A</v>
      </c>
      <c r="AD175" s="323" t="e">
        <f t="shared" ca="1" si="84"/>
        <v>#N/A</v>
      </c>
      <c r="AE175" s="324">
        <f t="shared" ca="1" si="63"/>
        <v>119.68595027972458</v>
      </c>
      <c r="AG175" s="306">
        <f t="shared" ca="1" si="85"/>
        <v>62.864352649456755</v>
      </c>
      <c r="AH175" s="304">
        <f t="shared" ca="1" si="86"/>
        <v>72.619468985380024</v>
      </c>
    </row>
    <row r="176" spans="1:34" x14ac:dyDescent="0.2">
      <c r="A176" s="347">
        <f t="shared" ca="1" si="64"/>
        <v>0.01</v>
      </c>
      <c r="B176" s="304">
        <f t="shared" ca="1" si="65"/>
        <v>1.7200000000000013</v>
      </c>
      <c r="D176" s="306">
        <f t="shared" ca="1" si="66"/>
        <v>7.6528286284098028</v>
      </c>
      <c r="E176" s="307">
        <f t="shared" ca="1" si="67"/>
        <v>62.180042418360003</v>
      </c>
      <c r="F176" s="304">
        <f t="shared" ca="1" si="68"/>
        <v>62.649209581325586</v>
      </c>
      <c r="G176" s="306">
        <f t="shared" ca="1" si="69"/>
        <v>14.257899965672699</v>
      </c>
      <c r="H176" s="307">
        <f t="shared" ca="1" si="70"/>
        <v>134.02574794755222</v>
      </c>
      <c r="I176" s="304">
        <f t="shared" ca="1" si="71"/>
        <v>134.78200482383369</v>
      </c>
      <c r="J176" s="306">
        <f t="shared" ca="1" si="72"/>
        <v>12.159390296055905</v>
      </c>
      <c r="K176" s="307">
        <f t="shared" ca="1" si="73"/>
        <v>121.02309875707918</v>
      </c>
      <c r="L176" s="304">
        <f t="shared" ca="1" si="58"/>
        <v>121.63240195415678</v>
      </c>
      <c r="M176" s="306">
        <f t="shared" ca="1" si="74"/>
        <v>1.4648131369006658</v>
      </c>
      <c r="N176" s="304">
        <f t="shared" ca="1" si="75"/>
        <v>83.927610519727025</v>
      </c>
      <c r="P176" s="310">
        <f t="shared" ca="1" si="76"/>
        <v>5</v>
      </c>
      <c r="Q176" s="304">
        <f t="shared" ca="1" si="77"/>
        <v>627.60999999999979</v>
      </c>
      <c r="R176" s="306">
        <f t="shared" ca="1" si="78"/>
        <v>0.3149682175702132</v>
      </c>
      <c r="S176" s="307">
        <f t="shared" ca="1" si="79"/>
        <v>7.8736329501498741</v>
      </c>
      <c r="T176" s="304">
        <f t="shared" ca="1" si="59"/>
        <v>77.240339240970272</v>
      </c>
      <c r="U176" s="311">
        <f t="shared" ca="1" si="60"/>
        <v>0</v>
      </c>
      <c r="V176" s="306">
        <f t="shared" ca="1" si="61"/>
        <v>1.2102638411824516</v>
      </c>
      <c r="W176" s="304">
        <f t="shared" ca="1" si="62"/>
        <v>58.12444054148667</v>
      </c>
      <c r="Y176" s="314" t="str">
        <f t="shared" ca="1" si="80"/>
        <v/>
      </c>
      <c r="Z176" s="315" t="str">
        <f t="shared" ca="1" si="81"/>
        <v/>
      </c>
      <c r="AA176" s="316" t="str">
        <f t="shared" ca="1" si="82"/>
        <v/>
      </c>
      <c r="AC176" s="310" t="e">
        <f t="shared" ca="1" si="83"/>
        <v>#N/A</v>
      </c>
      <c r="AD176" s="323" t="e">
        <f t="shared" ca="1" si="84"/>
        <v>#N/A</v>
      </c>
      <c r="AE176" s="324">
        <f t="shared" ca="1" si="63"/>
        <v>121.02309875707918</v>
      </c>
      <c r="AG176" s="306">
        <f t="shared" ca="1" si="85"/>
        <v>62.640626542980598</v>
      </c>
      <c r="AH176" s="304">
        <f t="shared" ca="1" si="86"/>
        <v>72.3956628080238</v>
      </c>
    </row>
    <row r="177" spans="1:34" x14ac:dyDescent="0.2">
      <c r="A177" s="347">
        <f t="shared" ca="1" si="64"/>
        <v>0.01</v>
      </c>
      <c r="B177" s="304">
        <f t="shared" ca="1" si="65"/>
        <v>1.7300000000000013</v>
      </c>
      <c r="D177" s="306">
        <f t="shared" ca="1" si="66"/>
        <v>7.6346604233595441</v>
      </c>
      <c r="E177" s="307">
        <f t="shared" ca="1" si="67"/>
        <v>61.956604901836329</v>
      </c>
      <c r="F177" s="304">
        <f t="shared" ca="1" si="68"/>
        <v>62.425226717587996</v>
      </c>
      <c r="G177" s="306">
        <f t="shared" ca="1" si="69"/>
        <v>14.334246569906295</v>
      </c>
      <c r="H177" s="307">
        <f t="shared" ca="1" si="70"/>
        <v>134.64531399657059</v>
      </c>
      <c r="I177" s="304">
        <f t="shared" ca="1" si="71"/>
        <v>135.40617122554627</v>
      </c>
      <c r="J177" s="306">
        <f t="shared" ca="1" si="72"/>
        <v>12.302351028733801</v>
      </c>
      <c r="K177" s="307">
        <f t="shared" ca="1" si="73"/>
        <v>122.36645406679979</v>
      </c>
      <c r="L177" s="304">
        <f t="shared" ca="1" si="58"/>
        <v>122.98331968895786</v>
      </c>
      <c r="M177" s="306">
        <f t="shared" ca="1" si="74"/>
        <v>1.4647364971291941</v>
      </c>
      <c r="N177" s="304">
        <f t="shared" ca="1" si="75"/>
        <v>83.923219384278838</v>
      </c>
      <c r="P177" s="310">
        <f t="shared" ca="1" si="76"/>
        <v>5</v>
      </c>
      <c r="Q177" s="304">
        <f t="shared" ca="1" si="77"/>
        <v>626.14999999999975</v>
      </c>
      <c r="R177" s="306">
        <f t="shared" ca="1" si="78"/>
        <v>0.31423551159412527</v>
      </c>
      <c r="S177" s="307">
        <f t="shared" ca="1" si="79"/>
        <v>7.8704905950339326</v>
      </c>
      <c r="T177" s="304">
        <f t="shared" ca="1" si="59"/>
        <v>77.209512737282878</v>
      </c>
      <c r="U177" s="311">
        <f t="shared" ca="1" si="60"/>
        <v>0</v>
      </c>
      <c r="V177" s="306">
        <f t="shared" ca="1" si="61"/>
        <v>1.2101012646475748</v>
      </c>
      <c r="W177" s="304">
        <f t="shared" ca="1" si="62"/>
        <v>58.656147377449095</v>
      </c>
      <c r="Y177" s="314" t="str">
        <f t="shared" ca="1" si="80"/>
        <v/>
      </c>
      <c r="Z177" s="315" t="str">
        <f t="shared" ca="1" si="81"/>
        <v/>
      </c>
      <c r="AA177" s="316" t="str">
        <f t="shared" ca="1" si="82"/>
        <v/>
      </c>
      <c r="AC177" s="310" t="e">
        <f t="shared" ca="1" si="83"/>
        <v>#N/A</v>
      </c>
      <c r="AD177" s="323" t="e">
        <f t="shared" ca="1" si="84"/>
        <v>#N/A</v>
      </c>
      <c r="AE177" s="324">
        <f t="shared" ca="1" si="63"/>
        <v>122.36645406679979</v>
      </c>
      <c r="AG177" s="306">
        <f t="shared" ca="1" si="85"/>
        <v>62.416600404805052</v>
      </c>
      <c r="AH177" s="304">
        <f t="shared" ca="1" si="86"/>
        <v>72.171556855289538</v>
      </c>
    </row>
    <row r="178" spans="1:34" x14ac:dyDescent="0.2">
      <c r="A178" s="347">
        <f t="shared" ca="1" si="64"/>
        <v>0.01</v>
      </c>
      <c r="B178" s="304">
        <f t="shared" ca="1" si="65"/>
        <v>1.7400000000000013</v>
      </c>
      <c r="D178" s="306">
        <f t="shared" ca="1" si="66"/>
        <v>7.6164051790007914</v>
      </c>
      <c r="E178" s="307">
        <f t="shared" ca="1" si="67"/>
        <v>61.732878926378874</v>
      </c>
      <c r="F178" s="304">
        <f t="shared" ca="1" si="68"/>
        <v>62.20094829172352</v>
      </c>
      <c r="G178" s="306">
        <f t="shared" ca="1" si="69"/>
        <v>14.410410621696302</v>
      </c>
      <c r="H178" s="307">
        <f t="shared" ca="1" si="70"/>
        <v>135.26264278583437</v>
      </c>
      <c r="I178" s="304">
        <f t="shared" ca="1" si="71"/>
        <v>136.0280944058768</v>
      </c>
      <c r="J178" s="306">
        <f t="shared" ca="1" si="72"/>
        <v>12.446074314691813</v>
      </c>
      <c r="K178" s="307">
        <f t="shared" ca="1" si="73"/>
        <v>123.71599385071181</v>
      </c>
      <c r="L178" s="304">
        <f t="shared" ca="1" si="58"/>
        <v>124.34046766968585</v>
      </c>
      <c r="M178" s="306">
        <f t="shared" ca="1" si="74"/>
        <v>1.4646601527959904</v>
      </c>
      <c r="N178" s="304">
        <f t="shared" ca="1" si="75"/>
        <v>83.918845176196527</v>
      </c>
      <c r="P178" s="310">
        <f t="shared" ca="1" si="76"/>
        <v>5</v>
      </c>
      <c r="Q178" s="304">
        <f t="shared" ca="1" si="77"/>
        <v>624.68999999999983</v>
      </c>
      <c r="R178" s="306">
        <f t="shared" ca="1" si="78"/>
        <v>0.31350280561803745</v>
      </c>
      <c r="S178" s="307">
        <f t="shared" ca="1" si="79"/>
        <v>7.8673555669777526</v>
      </c>
      <c r="T178" s="304">
        <f t="shared" ca="1" si="59"/>
        <v>77.178758112051753</v>
      </c>
      <c r="U178" s="311">
        <f t="shared" ca="1" si="60"/>
        <v>0</v>
      </c>
      <c r="V178" s="306">
        <f t="shared" ca="1" si="61"/>
        <v>1.209937961506371</v>
      </c>
      <c r="W178" s="304">
        <f t="shared" ca="1" si="62"/>
        <v>59.188213904588672</v>
      </c>
      <c r="Y178" s="314" t="str">
        <f t="shared" ca="1" si="80"/>
        <v/>
      </c>
      <c r="Z178" s="315" t="str">
        <f t="shared" ca="1" si="81"/>
        <v/>
      </c>
      <c r="AA178" s="316" t="str">
        <f t="shared" ca="1" si="82"/>
        <v/>
      </c>
      <c r="AC178" s="310" t="e">
        <f t="shared" ca="1" si="83"/>
        <v>#N/A</v>
      </c>
      <c r="AD178" s="323" t="e">
        <f t="shared" ca="1" si="84"/>
        <v>#N/A</v>
      </c>
      <c r="AE178" s="324">
        <f t="shared" ca="1" si="63"/>
        <v>123.71599385071181</v>
      </c>
      <c r="AG178" s="306">
        <f t="shared" ca="1" si="85"/>
        <v>62.192278391355082</v>
      </c>
      <c r="AH178" s="304">
        <f t="shared" ca="1" si="86"/>
        <v>71.94715528028344</v>
      </c>
    </row>
    <row r="179" spans="1:34" x14ac:dyDescent="0.2">
      <c r="A179" s="347">
        <f t="shared" ca="1" si="64"/>
        <v>0.01</v>
      </c>
      <c r="B179" s="304">
        <f t="shared" ca="1" si="65"/>
        <v>1.7500000000000013</v>
      </c>
      <c r="D179" s="306">
        <f t="shared" ca="1" si="66"/>
        <v>7.5980637387071388</v>
      </c>
      <c r="E179" s="307">
        <f t="shared" ca="1" si="67"/>
        <v>61.508868582786121</v>
      </c>
      <c r="F179" s="304">
        <f t="shared" ca="1" si="68"/>
        <v>61.976378459150951</v>
      </c>
      <c r="G179" s="306">
        <f t="shared" ca="1" si="69"/>
        <v>14.486391259083373</v>
      </c>
      <c r="H179" s="307">
        <f t="shared" ca="1" si="70"/>
        <v>135.87773147166223</v>
      </c>
      <c r="I179" s="304">
        <f t="shared" ca="1" si="71"/>
        <v>136.64777144760319</v>
      </c>
      <c r="J179" s="306">
        <f t="shared" ca="1" si="72"/>
        <v>12.590558324095712</v>
      </c>
      <c r="K179" s="307">
        <f t="shared" ca="1" si="73"/>
        <v>125.07169572199929</v>
      </c>
      <c r="L179" s="304">
        <f t="shared" ca="1" si="58"/>
        <v>125.70382344896606</v>
      </c>
      <c r="M179" s="306">
        <f t="shared" ca="1" si="74"/>
        <v>1.4645841001731073</v>
      </c>
      <c r="N179" s="304">
        <f t="shared" ca="1" si="75"/>
        <v>83.914487681884424</v>
      </c>
      <c r="P179" s="310">
        <f t="shared" ca="1" si="76"/>
        <v>5</v>
      </c>
      <c r="Q179" s="304">
        <f t="shared" ca="1" si="77"/>
        <v>623.22999999999979</v>
      </c>
      <c r="R179" s="306">
        <f t="shared" ca="1" si="78"/>
        <v>0.31277009964194957</v>
      </c>
      <c r="S179" s="307">
        <f t="shared" ca="1" si="79"/>
        <v>7.8642278659813334</v>
      </c>
      <c r="T179" s="304">
        <f t="shared" ca="1" si="59"/>
        <v>77.148075365276881</v>
      </c>
      <c r="U179" s="311">
        <f t="shared" ca="1" si="60"/>
        <v>0</v>
      </c>
      <c r="V179" s="306">
        <f t="shared" ca="1" si="61"/>
        <v>1.2097739347639673</v>
      </c>
      <c r="W179" s="304">
        <f t="shared" ca="1" si="62"/>
        <v>59.720609757901677</v>
      </c>
      <c r="Y179" s="314" t="str">
        <f t="shared" ca="1" si="80"/>
        <v/>
      </c>
      <c r="Z179" s="315" t="str">
        <f t="shared" ca="1" si="81"/>
        <v/>
      </c>
      <c r="AA179" s="316" t="str">
        <f t="shared" ca="1" si="82"/>
        <v/>
      </c>
      <c r="AC179" s="310" t="e">
        <f t="shared" ca="1" si="83"/>
        <v>#N/A</v>
      </c>
      <c r="AD179" s="323" t="e">
        <f t="shared" ca="1" si="84"/>
        <v>#N/A</v>
      </c>
      <c r="AE179" s="324">
        <f t="shared" ca="1" si="63"/>
        <v>125.07169572199929</v>
      </c>
      <c r="AG179" s="306">
        <f t="shared" ca="1" si="85"/>
        <v>61.967664654094051</v>
      </c>
      <c r="AH179" s="304">
        <f t="shared" ca="1" si="86"/>
        <v>71.722462231201831</v>
      </c>
    </row>
    <row r="180" spans="1:34" x14ac:dyDescent="0.2">
      <c r="A180" s="347">
        <f t="shared" ca="1" si="64"/>
        <v>0.01</v>
      </c>
      <c r="B180" s="304">
        <f t="shared" ca="1" si="65"/>
        <v>1.7600000000000013</v>
      </c>
      <c r="D180" s="306">
        <f t="shared" ca="1" si="66"/>
        <v>7.5796369392790073</v>
      </c>
      <c r="E180" s="307">
        <f t="shared" ca="1" si="67"/>
        <v>61.284577957244295</v>
      </c>
      <c r="F180" s="304">
        <f t="shared" ca="1" si="68"/>
        <v>61.751521370156027</v>
      </c>
      <c r="G180" s="306">
        <f t="shared" ca="1" si="69"/>
        <v>14.562187628476163</v>
      </c>
      <c r="H180" s="307">
        <f t="shared" ca="1" si="70"/>
        <v>136.49057725123467</v>
      </c>
      <c r="I180" s="304">
        <f t="shared" ca="1" si="71"/>
        <v>137.26519947496598</v>
      </c>
      <c r="J180" s="306">
        <f t="shared" ca="1" si="72"/>
        <v>12.73580121853351</v>
      </c>
      <c r="K180" s="307">
        <f t="shared" ca="1" si="73"/>
        <v>126.43353726561378</v>
      </c>
      <c r="L180" s="304">
        <f t="shared" ca="1" si="58"/>
        <v>127.07336455045701</v>
      </c>
      <c r="M180" s="306">
        <f t="shared" ca="1" si="74"/>
        <v>1.4645083355931641</v>
      </c>
      <c r="N180" s="304">
        <f t="shared" ca="1" si="75"/>
        <v>83.910146691217108</v>
      </c>
      <c r="P180" s="310">
        <f t="shared" ca="1" si="76"/>
        <v>5</v>
      </c>
      <c r="Q180" s="304">
        <f t="shared" ca="1" si="77"/>
        <v>621.76999999999975</v>
      </c>
      <c r="R180" s="306">
        <f t="shared" ca="1" si="78"/>
        <v>0.3120373936658617</v>
      </c>
      <c r="S180" s="307">
        <f t="shared" ca="1" si="79"/>
        <v>7.8611074920446748</v>
      </c>
      <c r="T180" s="304">
        <f t="shared" ca="1" si="59"/>
        <v>77.117464496958263</v>
      </c>
      <c r="U180" s="311">
        <f t="shared" ca="1" si="60"/>
        <v>0</v>
      </c>
      <c r="V180" s="306">
        <f t="shared" ca="1" si="61"/>
        <v>1.2096091874287014</v>
      </c>
      <c r="W180" s="304">
        <f t="shared" ca="1" si="62"/>
        <v>60.253304678816939</v>
      </c>
      <c r="Y180" s="314" t="str">
        <f t="shared" ca="1" si="80"/>
        <v/>
      </c>
      <c r="Z180" s="315" t="str">
        <f t="shared" ca="1" si="81"/>
        <v/>
      </c>
      <c r="AA180" s="316" t="str">
        <f t="shared" ca="1" si="82"/>
        <v/>
      </c>
      <c r="AC180" s="310" t="e">
        <f t="shared" ca="1" si="83"/>
        <v>#N/A</v>
      </c>
      <c r="AD180" s="323" t="e">
        <f t="shared" ca="1" si="84"/>
        <v>#N/A</v>
      </c>
      <c r="AE180" s="324">
        <f t="shared" ca="1" si="63"/>
        <v>126.43353726561378</v>
      </c>
      <c r="AG180" s="306">
        <f t="shared" ca="1" si="85"/>
        <v>61.742763339304894</v>
      </c>
      <c r="AH180" s="304">
        <f t="shared" ca="1" si="86"/>
        <v>71.497481851111161</v>
      </c>
    </row>
    <row r="181" spans="1:34" x14ac:dyDescent="0.2">
      <c r="A181" s="347">
        <f t="shared" ca="1" si="64"/>
        <v>0.01</v>
      </c>
      <c r="B181" s="304">
        <f t="shared" ca="1" si="65"/>
        <v>1.7700000000000014</v>
      </c>
      <c r="D181" s="306">
        <f t="shared" ca="1" si="66"/>
        <v>7.5611256110642167</v>
      </c>
      <c r="E181" s="307">
        <f t="shared" ca="1" si="67"/>
        <v>61.060011131098406</v>
      </c>
      <c r="F181" s="304">
        <f t="shared" ca="1" si="68"/>
        <v>61.526381169675112</v>
      </c>
      <c r="G181" s="306">
        <f t="shared" ca="1" si="69"/>
        <v>14.637798884586806</v>
      </c>
      <c r="H181" s="307">
        <f t="shared" ca="1" si="70"/>
        <v>137.10117736254566</v>
      </c>
      <c r="I181" s="304">
        <f t="shared" ca="1" si="71"/>
        <v>137.88037565361438</v>
      </c>
      <c r="J181" s="306">
        <f t="shared" ca="1" si="72"/>
        <v>12.881801151098825</v>
      </c>
      <c r="K181" s="307">
        <f t="shared" ca="1" si="73"/>
        <v>127.80149603868269</v>
      </c>
      <c r="L181" s="304">
        <f t="shared" ca="1" si="58"/>
        <v>128.4490684692648</v>
      </c>
      <c r="M181" s="306">
        <f t="shared" ca="1" si="74"/>
        <v>1.4644328554479928</v>
      </c>
      <c r="N181" s="304">
        <f t="shared" ca="1" si="75"/>
        <v>83.905821997461757</v>
      </c>
      <c r="P181" s="310">
        <f t="shared" ca="1" si="76"/>
        <v>5</v>
      </c>
      <c r="Q181" s="304">
        <f t="shared" ca="1" si="77"/>
        <v>620.30999999999983</v>
      </c>
      <c r="R181" s="306">
        <f t="shared" ca="1" si="78"/>
        <v>0.31130468768977382</v>
      </c>
      <c r="S181" s="307">
        <f t="shared" ca="1" si="79"/>
        <v>7.857994445167777</v>
      </c>
      <c r="T181" s="304">
        <f t="shared" ca="1" si="59"/>
        <v>77.086925507095899</v>
      </c>
      <c r="U181" s="311">
        <f t="shared" ca="1" si="60"/>
        <v>0</v>
      </c>
      <c r="V181" s="306">
        <f t="shared" ca="1" si="61"/>
        <v>1.2094437225120491</v>
      </c>
      <c r="W181" s="304">
        <f t="shared" ca="1" si="62"/>
        <v>60.786268516514674</v>
      </c>
      <c r="Y181" s="314" t="str">
        <f t="shared" ca="1" si="80"/>
        <v/>
      </c>
      <c r="Z181" s="315" t="str">
        <f t="shared" ca="1" si="81"/>
        <v/>
      </c>
      <c r="AA181" s="316" t="str">
        <f t="shared" ca="1" si="82"/>
        <v/>
      </c>
      <c r="AC181" s="310" t="e">
        <f t="shared" ca="1" si="83"/>
        <v>#N/A</v>
      </c>
      <c r="AD181" s="323" t="e">
        <f t="shared" ca="1" si="84"/>
        <v>#N/A</v>
      </c>
      <c r="AE181" s="324">
        <f t="shared" ca="1" si="63"/>
        <v>127.80149603868269</v>
      </c>
      <c r="AG181" s="306">
        <f t="shared" ca="1" si="85"/>
        <v>61.517578587872606</v>
      </c>
      <c r="AH181" s="304">
        <f t="shared" ca="1" si="86"/>
        <v>71.272218277729394</v>
      </c>
    </row>
    <row r="182" spans="1:34" x14ac:dyDescent="0.2">
      <c r="A182" s="347">
        <f t="shared" ca="1" si="64"/>
        <v>0.01</v>
      </c>
      <c r="B182" s="304">
        <f t="shared" ca="1" si="65"/>
        <v>1.7800000000000014</v>
      </c>
      <c r="D182" s="306">
        <f t="shared" ca="1" si="66"/>
        <v>7.5425305780743335</v>
      </c>
      <c r="E182" s="307">
        <f t="shared" ca="1" si="67"/>
        <v>60.835172180624895</v>
      </c>
      <c r="F182" s="304">
        <f t="shared" ca="1" si="68"/>
        <v>61.300961997080137</v>
      </c>
      <c r="G182" s="306">
        <f t="shared" ca="1" si="69"/>
        <v>14.71322419036755</v>
      </c>
      <c r="H182" s="307">
        <f t="shared" ca="1" si="70"/>
        <v>137.70952908435191</v>
      </c>
      <c r="I182" s="304">
        <f t="shared" ca="1" si="71"/>
        <v>138.49329719054992</v>
      </c>
      <c r="J182" s="306">
        <f t="shared" ca="1" si="72"/>
        <v>13.028556266473597</v>
      </c>
      <c r="K182" s="307">
        <f t="shared" ca="1" si="73"/>
        <v>129.17554957091718</v>
      </c>
      <c r="L182" s="304">
        <f t="shared" ca="1" si="58"/>
        <v>129.83091267235687</v>
      </c>
      <c r="M182" s="306">
        <f t="shared" ca="1" si="74"/>
        <v>1.4643576561873184</v>
      </c>
      <c r="N182" s="304">
        <f t="shared" ca="1" si="75"/>
        <v>83.901513397202606</v>
      </c>
      <c r="P182" s="310">
        <f t="shared" ca="1" si="76"/>
        <v>5</v>
      </c>
      <c r="Q182" s="304">
        <f t="shared" ca="1" si="77"/>
        <v>618.8499999999998</v>
      </c>
      <c r="R182" s="306">
        <f t="shared" ca="1" si="78"/>
        <v>0.31057198171368594</v>
      </c>
      <c r="S182" s="307">
        <f t="shared" ca="1" si="79"/>
        <v>7.8548887253506399</v>
      </c>
      <c r="T182" s="304">
        <f t="shared" ca="1" si="59"/>
        <v>77.056458395689788</v>
      </c>
      <c r="U182" s="311">
        <f t="shared" ca="1" si="60"/>
        <v>0</v>
      </c>
      <c r="V182" s="306">
        <f t="shared" ca="1" si="61"/>
        <v>1.2092775430285572</v>
      </c>
      <c r="W182" s="304">
        <f t="shared" ca="1" si="62"/>
        <v>61.319471229230288</v>
      </c>
      <c r="Y182" s="314" t="str">
        <f t="shared" ca="1" si="80"/>
        <v/>
      </c>
      <c r="Z182" s="315" t="str">
        <f t="shared" ca="1" si="81"/>
        <v/>
      </c>
      <c r="AA182" s="316" t="str">
        <f t="shared" ca="1" si="82"/>
        <v/>
      </c>
      <c r="AC182" s="310" t="e">
        <f t="shared" ca="1" si="83"/>
        <v>#N/A</v>
      </c>
      <c r="AD182" s="323" t="e">
        <f t="shared" ca="1" si="84"/>
        <v>#N/A</v>
      </c>
      <c r="AE182" s="324">
        <f t="shared" ca="1" si="63"/>
        <v>129.17554957091718</v>
      </c>
      <c r="AG182" s="306">
        <f t="shared" ca="1" si="85"/>
        <v>61.292114535068166</v>
      </c>
      <c r="AH182" s="304">
        <f t="shared" ca="1" si="86"/>
        <v>71.046675643208843</v>
      </c>
    </row>
    <row r="183" spans="1:34" x14ac:dyDescent="0.2">
      <c r="A183" s="347">
        <f t="shared" ca="1" si="64"/>
        <v>0.01</v>
      </c>
      <c r="B183" s="304">
        <f t="shared" ca="1" si="65"/>
        <v>1.7900000000000014</v>
      </c>
      <c r="D183" s="306">
        <f t="shared" ca="1" si="66"/>
        <v>7.5238526580974217</v>
      </c>
      <c r="E183" s="307">
        <f t="shared" ca="1" si="67"/>
        <v>60.610065176806287</v>
      </c>
      <c r="F183" s="304">
        <f t="shared" ca="1" si="68"/>
        <v>61.075267985965205</v>
      </c>
      <c r="G183" s="306">
        <f t="shared" ca="1" si="69"/>
        <v>14.788462716948525</v>
      </c>
      <c r="H183" s="307">
        <f t="shared" ca="1" si="70"/>
        <v>138.31562973611997</v>
      </c>
      <c r="I183" s="304">
        <f t="shared" ca="1" si="71"/>
        <v>139.10396133406846</v>
      </c>
      <c r="J183" s="306">
        <f t="shared" ca="1" si="72"/>
        <v>13.176064701010178</v>
      </c>
      <c r="K183" s="307">
        <f t="shared" ca="1" si="73"/>
        <v>130.55567536501954</v>
      </c>
      <c r="L183" s="304">
        <f t="shared" ca="1" si="58"/>
        <v>131.21887459897519</v>
      </c>
      <c r="M183" s="306">
        <f t="shared" ca="1" si="74"/>
        <v>1.4642827343174776</v>
      </c>
      <c r="N183" s="304">
        <f t="shared" ca="1" si="75"/>
        <v>83.897220690267503</v>
      </c>
      <c r="P183" s="310">
        <f t="shared" ca="1" si="76"/>
        <v>5</v>
      </c>
      <c r="Q183" s="304">
        <f t="shared" ca="1" si="77"/>
        <v>617.38999999999976</v>
      </c>
      <c r="R183" s="306">
        <f t="shared" ca="1" si="78"/>
        <v>0.30983927573759806</v>
      </c>
      <c r="S183" s="307">
        <f t="shared" ca="1" si="79"/>
        <v>7.8517903325932643</v>
      </c>
      <c r="T183" s="304">
        <f t="shared" ca="1" si="59"/>
        <v>77.026063162739931</v>
      </c>
      <c r="U183" s="311">
        <f t="shared" ca="1" si="60"/>
        <v>0</v>
      </c>
      <c r="V183" s="306">
        <f t="shared" ca="1" si="61"/>
        <v>1.2091106519957753</v>
      </c>
      <c r="W183" s="304">
        <f t="shared" ca="1" si="62"/>
        <v>61.852882885543551</v>
      </c>
      <c r="Y183" s="314" t="str">
        <f t="shared" ca="1" si="80"/>
        <v/>
      </c>
      <c r="Z183" s="315" t="str">
        <f t="shared" ca="1" si="81"/>
        <v/>
      </c>
      <c r="AA183" s="316" t="str">
        <f t="shared" ca="1" si="82"/>
        <v/>
      </c>
      <c r="AC183" s="310" t="e">
        <f t="shared" ca="1" si="83"/>
        <v>#N/A</v>
      </c>
      <c r="AD183" s="323" t="e">
        <f t="shared" ca="1" si="84"/>
        <v>#N/A</v>
      </c>
      <c r="AE183" s="324">
        <f t="shared" ca="1" si="63"/>
        <v>130.55567536501954</v>
      </c>
      <c r="AG183" s="306">
        <f t="shared" ca="1" si="85"/>
        <v>61.066375310334024</v>
      </c>
      <c r="AH183" s="304">
        <f t="shared" ca="1" si="86"/>
        <v>70.820858073920604</v>
      </c>
    </row>
    <row r="184" spans="1:34" x14ac:dyDescent="0.2">
      <c r="A184" s="347">
        <f t="shared" ca="1" si="64"/>
        <v>0.01</v>
      </c>
      <c r="B184" s="304">
        <f t="shared" ca="1" si="65"/>
        <v>1.8000000000000014</v>
      </c>
      <c r="D184" s="306">
        <f t="shared" ca="1" si="66"/>
        <v>7.5050926628068613</v>
      </c>
      <c r="E184" s="307">
        <f t="shared" ca="1" si="67"/>
        <v>60.384694185107435</v>
      </c>
      <c r="F184" s="304">
        <f t="shared" ca="1" si="68"/>
        <v>60.849303263934459</v>
      </c>
      <c r="G184" s="306">
        <f t="shared" ca="1" si="69"/>
        <v>14.863513643576594</v>
      </c>
      <c r="H184" s="307">
        <f t="shared" ca="1" si="70"/>
        <v>138.91947667797103</v>
      </c>
      <c r="I184" s="304">
        <f t="shared" ca="1" si="71"/>
        <v>139.71236537369955</v>
      </c>
      <c r="J184" s="306">
        <f t="shared" ca="1" si="72"/>
        <v>13.324324582812803</v>
      </c>
      <c r="K184" s="307">
        <f t="shared" ca="1" si="73"/>
        <v>131.94185089709001</v>
      </c>
      <c r="L184" s="304">
        <f t="shared" ca="1" si="58"/>
        <v>132.61293166104912</v>
      </c>
      <c r="M184" s="306">
        <f t="shared" ca="1" si="74"/>
        <v>1.4642080864001721</v>
      </c>
      <c r="N184" s="304">
        <f t="shared" ca="1" si="75"/>
        <v>83.892943679656454</v>
      </c>
      <c r="P184" s="310">
        <f t="shared" ca="1" si="76"/>
        <v>5</v>
      </c>
      <c r="Q184" s="304">
        <f t="shared" ca="1" si="77"/>
        <v>615.92999999999984</v>
      </c>
      <c r="R184" s="306">
        <f t="shared" ca="1" si="78"/>
        <v>0.30910656976151019</v>
      </c>
      <c r="S184" s="307">
        <f t="shared" ca="1" si="79"/>
        <v>7.8486992668956495</v>
      </c>
      <c r="T184" s="304">
        <f t="shared" ca="1" si="59"/>
        <v>76.995739808246327</v>
      </c>
      <c r="U184" s="311">
        <f t="shared" ca="1" si="60"/>
        <v>0</v>
      </c>
      <c r="V184" s="306">
        <f t="shared" ca="1" si="61"/>
        <v>1.2089430524341862</v>
      </c>
      <c r="W184" s="304">
        <f t="shared" ca="1" si="62"/>
        <v>62.386473665652211</v>
      </c>
      <c r="Y184" s="314" t="str">
        <f t="shared" ca="1" si="80"/>
        <v/>
      </c>
      <c r="Z184" s="315" t="str">
        <f t="shared" ca="1" si="81"/>
        <v/>
      </c>
      <c r="AA184" s="316" t="str">
        <f t="shared" ca="1" si="82"/>
        <v/>
      </c>
      <c r="AC184" s="310" t="e">
        <f t="shared" ca="1" si="83"/>
        <v>#N/A</v>
      </c>
      <c r="AD184" s="323" t="e">
        <f t="shared" ca="1" si="84"/>
        <v>#N/A</v>
      </c>
      <c r="AE184" s="324">
        <f t="shared" ca="1" si="63"/>
        <v>131.94185089709001</v>
      </c>
      <c r="AG184" s="306">
        <f t="shared" ca="1" si="85"/>
        <v>60.840365037070889</v>
      </c>
      <c r="AH184" s="304">
        <f t="shared" ca="1" si="86"/>
        <v>70.594769690240312</v>
      </c>
    </row>
    <row r="185" spans="1:34" x14ac:dyDescent="0.2">
      <c r="A185" s="347">
        <f t="shared" ca="1" si="64"/>
        <v>0.01</v>
      </c>
      <c r="B185" s="304">
        <f t="shared" ca="1" si="65"/>
        <v>1.8100000000000014</v>
      </c>
      <c r="D185" s="306">
        <f t="shared" ca="1" si="66"/>
        <v>7.4862513978666936</v>
      </c>
      <c r="E185" s="307">
        <f t="shared" ca="1" si="67"/>
        <v>60.15906326525355</v>
      </c>
      <c r="F185" s="304">
        <f t="shared" ca="1" si="68"/>
        <v>60.623071952391527</v>
      </c>
      <c r="G185" s="306">
        <f t="shared" ca="1" si="69"/>
        <v>14.938376157555261</v>
      </c>
      <c r="H185" s="307">
        <f t="shared" ca="1" si="70"/>
        <v>139.52106731062358</v>
      </c>
      <c r="I185" s="304">
        <f t="shared" ca="1" si="71"/>
        <v>140.31850664014414</v>
      </c>
      <c r="J185" s="306">
        <f t="shared" ca="1" si="72"/>
        <v>13.473334031818462</v>
      </c>
      <c r="K185" s="307">
        <f t="shared" ca="1" si="73"/>
        <v>133.33405361703299</v>
      </c>
      <c r="L185" s="304">
        <f t="shared" ca="1" si="58"/>
        <v>134.0130612436071</v>
      </c>
      <c r="M185" s="306">
        <f t="shared" ca="1" si="74"/>
        <v>1.4641337090512561</v>
      </c>
      <c r="N185" s="304">
        <f t="shared" ca="1" si="75"/>
        <v>83.888682171472198</v>
      </c>
      <c r="P185" s="310">
        <f t="shared" ca="1" si="76"/>
        <v>5</v>
      </c>
      <c r="Q185" s="304">
        <f t="shared" ca="1" si="77"/>
        <v>614.4699999999998</v>
      </c>
      <c r="R185" s="306">
        <f t="shared" ca="1" si="78"/>
        <v>0.30837386378542231</v>
      </c>
      <c r="S185" s="307">
        <f t="shared" ca="1" si="79"/>
        <v>7.8456155282577953</v>
      </c>
      <c r="T185" s="304">
        <f t="shared" ca="1" si="59"/>
        <v>76.965488332208977</v>
      </c>
      <c r="U185" s="311">
        <f t="shared" ca="1" si="60"/>
        <v>0</v>
      </c>
      <c r="V185" s="306">
        <f t="shared" ca="1" si="61"/>
        <v>1.2087747473671384</v>
      </c>
      <c r="W185" s="304">
        <f t="shared" ca="1" si="62"/>
        <v>62.920213862630909</v>
      </c>
      <c r="Y185" s="314" t="str">
        <f t="shared" ca="1" si="80"/>
        <v/>
      </c>
      <c r="Z185" s="315" t="str">
        <f t="shared" ca="1" si="81"/>
        <v/>
      </c>
      <c r="AA185" s="316" t="str">
        <f t="shared" ca="1" si="82"/>
        <v/>
      </c>
      <c r="AC185" s="310" t="e">
        <f t="shared" ca="1" si="83"/>
        <v>#N/A</v>
      </c>
      <c r="AD185" s="323" t="e">
        <f t="shared" ca="1" si="84"/>
        <v>#N/A</v>
      </c>
      <c r="AE185" s="324">
        <f t="shared" ca="1" si="63"/>
        <v>133.33405361703299</v>
      </c>
      <c r="AG185" s="306">
        <f t="shared" ca="1" si="85"/>
        <v>60.614087832425938</v>
      </c>
      <c r="AH185" s="304">
        <f t="shared" ca="1" si="86"/>
        <v>70.368414606335378</v>
      </c>
    </row>
    <row r="186" spans="1:34" x14ac:dyDescent="0.2">
      <c r="A186" s="347">
        <f t="shared" ca="1" si="64"/>
        <v>0.01</v>
      </c>
      <c r="B186" s="304">
        <f t="shared" ca="1" si="65"/>
        <v>1.8200000000000014</v>
      </c>
      <c r="D186" s="306">
        <f t="shared" ca="1" si="66"/>
        <v>7.4673296630334765</v>
      </c>
      <c r="E186" s="307">
        <f t="shared" ca="1" si="67"/>
        <v>59.933176471010341</v>
      </c>
      <c r="F186" s="304">
        <f t="shared" ca="1" si="68"/>
        <v>60.396578166330642</v>
      </c>
      <c r="G186" s="306">
        <f t="shared" ca="1" si="69"/>
        <v>15.013049454185596</v>
      </c>
      <c r="H186" s="307">
        <f t="shared" ca="1" si="70"/>
        <v>140.12039907533369</v>
      </c>
      <c r="I186" s="304">
        <f t="shared" ca="1" si="71"/>
        <v>140.92238250520958</v>
      </c>
      <c r="J186" s="306">
        <f t="shared" ca="1" si="72"/>
        <v>13.623091159877166</v>
      </c>
      <c r="K186" s="307">
        <f t="shared" ca="1" si="73"/>
        <v>134.73226094896279</v>
      </c>
      <c r="L186" s="304">
        <f t="shared" ca="1" si="58"/>
        <v>135.41924070518829</v>
      </c>
      <c r="M186" s="306">
        <f t="shared" ca="1" si="74"/>
        <v>1.4640595989395562</v>
      </c>
      <c r="N186" s="304">
        <f t="shared" ca="1" si="75"/>
        <v>83.884435974852551</v>
      </c>
      <c r="P186" s="310">
        <f t="shared" ca="1" si="76"/>
        <v>5</v>
      </c>
      <c r="Q186" s="304">
        <f t="shared" ca="1" si="77"/>
        <v>613.00999999999976</v>
      </c>
      <c r="R186" s="306">
        <f t="shared" ca="1" si="78"/>
        <v>0.30764115780933443</v>
      </c>
      <c r="S186" s="307">
        <f t="shared" ca="1" si="79"/>
        <v>7.8425391166797018</v>
      </c>
      <c r="T186" s="304">
        <f t="shared" ca="1" si="59"/>
        <v>76.935308734627881</v>
      </c>
      <c r="U186" s="311">
        <f t="shared" ca="1" si="60"/>
        <v>0</v>
      </c>
      <c r="V186" s="306">
        <f t="shared" ca="1" si="61"/>
        <v>1.2086057398207788</v>
      </c>
      <c r="W186" s="304">
        <f t="shared" ca="1" si="62"/>
        <v>63.45407388367444</v>
      </c>
      <c r="Y186" s="314" t="str">
        <f t="shared" ca="1" si="80"/>
        <v/>
      </c>
      <c r="Z186" s="315" t="str">
        <f t="shared" ca="1" si="81"/>
        <v/>
      </c>
      <c r="AA186" s="316" t="str">
        <f t="shared" ca="1" si="82"/>
        <v/>
      </c>
      <c r="AC186" s="310" t="e">
        <f t="shared" ca="1" si="83"/>
        <v>#N/A</v>
      </c>
      <c r="AD186" s="323" t="e">
        <f t="shared" ca="1" si="84"/>
        <v>#N/A</v>
      </c>
      <c r="AE186" s="324">
        <f t="shared" ca="1" si="63"/>
        <v>134.73226094896279</v>
      </c>
      <c r="AG186" s="306">
        <f t="shared" ca="1" si="85"/>
        <v>60.387547807082875</v>
      </c>
      <c r="AH186" s="304">
        <f t="shared" ca="1" si="86"/>
        <v>70.14179692995404</v>
      </c>
    </row>
    <row r="187" spans="1:34" x14ac:dyDescent="0.2">
      <c r="A187" s="347">
        <f t="shared" ca="1" si="64"/>
        <v>0.01</v>
      </c>
      <c r="B187" s="304">
        <f t="shared" ca="1" si="65"/>
        <v>1.8300000000000014</v>
      </c>
      <c r="D187" s="306">
        <f t="shared" ca="1" si="66"/>
        <v>7.4483282522547887</v>
      </c>
      <c r="E187" s="307">
        <f t="shared" ca="1" si="67"/>
        <v>59.707037849965502</v>
      </c>
      <c r="F187" s="304">
        <f t="shared" ca="1" si="68"/>
        <v>60.169826014128958</v>
      </c>
      <c r="G187" s="306">
        <f t="shared" ca="1" si="69"/>
        <v>15.087532736708145</v>
      </c>
      <c r="H187" s="307">
        <f t="shared" ca="1" si="70"/>
        <v>140.71746945383336</v>
      </c>
      <c r="I187" s="304">
        <f t="shared" ca="1" si="71"/>
        <v>141.52399038174329</v>
      </c>
      <c r="J187" s="306">
        <f t="shared" ca="1" si="72"/>
        <v>13.773594070831635</v>
      </c>
      <c r="K187" s="307">
        <f t="shared" ca="1" si="73"/>
        <v>136.13645029160861</v>
      </c>
      <c r="L187" s="304">
        <f t="shared" ca="1" si="58"/>
        <v>136.83144737825319</v>
      </c>
      <c r="M187" s="306">
        <f t="shared" ca="1" si="74"/>
        <v>1.4639857527857241</v>
      </c>
      <c r="N187" s="304">
        <f t="shared" ca="1" si="75"/>
        <v>83.88020490190469</v>
      </c>
      <c r="P187" s="310">
        <f t="shared" ca="1" si="76"/>
        <v>5</v>
      </c>
      <c r="Q187" s="304">
        <f t="shared" ca="1" si="77"/>
        <v>611.54999999999973</v>
      </c>
      <c r="R187" s="306">
        <f t="shared" ca="1" si="78"/>
        <v>0.30690845183324655</v>
      </c>
      <c r="S187" s="307">
        <f t="shared" ca="1" si="79"/>
        <v>7.8394700321613691</v>
      </c>
      <c r="T187" s="304">
        <f t="shared" ca="1" si="59"/>
        <v>76.905201015503039</v>
      </c>
      <c r="U187" s="311">
        <f t="shared" ca="1" si="60"/>
        <v>0</v>
      </c>
      <c r="V187" s="306">
        <f t="shared" ca="1" si="61"/>
        <v>1.2084360328239825</v>
      </c>
      <c r="W187" s="304">
        <f t="shared" ca="1" si="62"/>
        <v>63.988024251326316</v>
      </c>
      <c r="Y187" s="314" t="str">
        <f t="shared" ca="1" si="80"/>
        <v/>
      </c>
      <c r="Z187" s="315" t="str">
        <f t="shared" ca="1" si="81"/>
        <v/>
      </c>
      <c r="AA187" s="316" t="str">
        <f t="shared" ca="1" si="82"/>
        <v/>
      </c>
      <c r="AC187" s="310" t="e">
        <f t="shared" ca="1" si="83"/>
        <v>#N/A</v>
      </c>
      <c r="AD187" s="323" t="e">
        <f t="shared" ca="1" si="84"/>
        <v>#N/A</v>
      </c>
      <c r="AE187" s="324">
        <f t="shared" ca="1" si="63"/>
        <v>136.13645029160861</v>
      </c>
      <c r="AG187" s="306">
        <f t="shared" ca="1" si="85"/>
        <v>60.160749065053011</v>
      </c>
      <c r="AH187" s="304">
        <f t="shared" ca="1" si="86"/>
        <v>69.914920762215516</v>
      </c>
    </row>
    <row r="188" spans="1:34" x14ac:dyDescent="0.2">
      <c r="A188" s="347">
        <f t="shared" ca="1" si="64"/>
        <v>0.01</v>
      </c>
      <c r="B188" s="304">
        <f t="shared" ca="1" si="65"/>
        <v>1.8400000000000014</v>
      </c>
      <c r="D188" s="306">
        <f t="shared" ca="1" si="66"/>
        <v>7.4292479537644915</v>
      </c>
      <c r="E188" s="307">
        <f t="shared" ca="1" si="67"/>
        <v>59.480651443312325</v>
      </c>
      <c r="F188" s="304">
        <f t="shared" ca="1" si="68"/>
        <v>59.942819597340652</v>
      </c>
      <c r="G188" s="306">
        <f t="shared" ca="1" si="69"/>
        <v>15.16182521624579</v>
      </c>
      <c r="H188" s="307">
        <f t="shared" ca="1" si="70"/>
        <v>141.31227596826648</v>
      </c>
      <c r="I188" s="304">
        <f t="shared" ca="1" si="71"/>
        <v>142.1233277235637</v>
      </c>
      <c r="J188" s="306">
        <f t="shared" ca="1" si="72"/>
        <v>13.924840860596404</v>
      </c>
      <c r="K188" s="307">
        <f t="shared" ca="1" si="73"/>
        <v>137.54659901871912</v>
      </c>
      <c r="L188" s="304">
        <f t="shared" ca="1" si="58"/>
        <v>138.24965856959372</v>
      </c>
      <c r="M188" s="306">
        <f t="shared" ca="1" si="74"/>
        <v>1.4639121673611197</v>
      </c>
      <c r="N188" s="304">
        <f t="shared" ca="1" si="75"/>
        <v>83.875988767641189</v>
      </c>
      <c r="P188" s="310">
        <f t="shared" ca="1" si="76"/>
        <v>5</v>
      </c>
      <c r="Q188" s="304">
        <f t="shared" ca="1" si="77"/>
        <v>610.0899999999998</v>
      </c>
      <c r="R188" s="306">
        <f t="shared" ca="1" si="78"/>
        <v>0.30617574585715868</v>
      </c>
      <c r="S188" s="307">
        <f t="shared" ca="1" si="79"/>
        <v>7.8364082747027979</v>
      </c>
      <c r="T188" s="304">
        <f t="shared" ca="1" si="59"/>
        <v>76.87516517483445</v>
      </c>
      <c r="U188" s="311">
        <f t="shared" ca="1" si="60"/>
        <v>0</v>
      </c>
      <c r="V188" s="306">
        <f t="shared" ca="1" si="61"/>
        <v>1.2082656294082874</v>
      </c>
      <c r="W188" s="304">
        <f t="shared" ca="1" si="62"/>
        <v>64.522035604691652</v>
      </c>
      <c r="Y188" s="314" t="str">
        <f t="shared" ca="1" si="80"/>
        <v/>
      </c>
      <c r="Z188" s="315" t="str">
        <f t="shared" ca="1" si="81"/>
        <v/>
      </c>
      <c r="AA188" s="316" t="str">
        <f t="shared" ca="1" si="82"/>
        <v/>
      </c>
      <c r="AC188" s="310" t="e">
        <f t="shared" ca="1" si="83"/>
        <v>#N/A</v>
      </c>
      <c r="AD188" s="323" t="e">
        <f t="shared" ca="1" si="84"/>
        <v>#N/A</v>
      </c>
      <c r="AE188" s="324">
        <f t="shared" ca="1" si="63"/>
        <v>137.54659901871912</v>
      </c>
      <c r="AG188" s="306">
        <f t="shared" ca="1" si="85"/>
        <v>59.93369570346816</v>
      </c>
      <c r="AH188" s="304">
        <f t="shared" ca="1" si="86"/>
        <v>69.687790197401981</v>
      </c>
    </row>
    <row r="189" spans="1:34" x14ac:dyDescent="0.2">
      <c r="A189" s="347">
        <f t="shared" ca="1" si="64"/>
        <v>0.01</v>
      </c>
      <c r="B189" s="304">
        <f t="shared" ca="1" si="65"/>
        <v>1.8500000000000014</v>
      </c>
      <c r="D189" s="306">
        <f t="shared" ca="1" si="66"/>
        <v>7.4100895501748578</v>
      </c>
      <c r="E189" s="307">
        <f t="shared" ca="1" si="67"/>
        <v>59.254021285635005</v>
      </c>
      <c r="F189" s="304">
        <f t="shared" ca="1" si="68"/>
        <v>59.715563010492474</v>
      </c>
      <c r="G189" s="306">
        <f t="shared" ca="1" si="69"/>
        <v>15.235926111747538</v>
      </c>
      <c r="H189" s="307">
        <f t="shared" ca="1" si="70"/>
        <v>141.90481618112284</v>
      </c>
      <c r="I189" s="304">
        <f t="shared" ca="1" si="71"/>
        <v>142.7203920253896</v>
      </c>
      <c r="J189" s="306">
        <f t="shared" ca="1" si="72"/>
        <v>14.07682961723637</v>
      </c>
      <c r="K189" s="307">
        <f t="shared" ca="1" si="73"/>
        <v>138.96268447946608</v>
      </c>
      <c r="L189" s="304">
        <f t="shared" ca="1" si="58"/>
        <v>139.67385156074255</v>
      </c>
      <c r="M189" s="306">
        <f t="shared" ca="1" si="74"/>
        <v>1.4638388394867237</v>
      </c>
      <c r="N189" s="304">
        <f t="shared" ca="1" si="75"/>
        <v>83.871787389917628</v>
      </c>
      <c r="P189" s="310">
        <f t="shared" ca="1" si="76"/>
        <v>5</v>
      </c>
      <c r="Q189" s="304">
        <f t="shared" ca="1" si="77"/>
        <v>608.62999999999977</v>
      </c>
      <c r="R189" s="306">
        <f t="shared" ca="1" si="78"/>
        <v>0.3054430398810708</v>
      </c>
      <c r="S189" s="307">
        <f t="shared" ca="1" si="79"/>
        <v>7.8333538443039874</v>
      </c>
      <c r="T189" s="304">
        <f t="shared" ca="1" si="59"/>
        <v>76.845201212622115</v>
      </c>
      <c r="U189" s="311">
        <f t="shared" ca="1" si="60"/>
        <v>0</v>
      </c>
      <c r="V189" s="306">
        <f t="shared" ca="1" si="61"/>
        <v>1.2080945326078254</v>
      </c>
      <c r="W189" s="304">
        <f t="shared" ca="1" si="62"/>
        <v>65.056078700635069</v>
      </c>
      <c r="Y189" s="314" t="str">
        <f t="shared" ca="1" si="80"/>
        <v/>
      </c>
      <c r="Z189" s="315" t="str">
        <f t="shared" ca="1" si="81"/>
        <v/>
      </c>
      <c r="AA189" s="316" t="str">
        <f t="shared" ca="1" si="82"/>
        <v/>
      </c>
      <c r="AC189" s="310" t="e">
        <f t="shared" ca="1" si="83"/>
        <v>#N/A</v>
      </c>
      <c r="AD189" s="323" t="e">
        <f t="shared" ca="1" si="84"/>
        <v>#N/A</v>
      </c>
      <c r="AE189" s="324">
        <f t="shared" ca="1" si="63"/>
        <v>138.96268447946608</v>
      </c>
      <c r="AG189" s="306">
        <f t="shared" ca="1" si="85"/>
        <v>59.706391812374996</v>
      </c>
      <c r="AH189" s="304">
        <f t="shared" ca="1" si="86"/>
        <v>69.460409322752028</v>
      </c>
    </row>
    <row r="190" spans="1:34" x14ac:dyDescent="0.2">
      <c r="A190" s="347">
        <f t="shared" ca="1" si="64"/>
        <v>0.01</v>
      </c>
      <c r="B190" s="304">
        <f t="shared" ca="1" si="65"/>
        <v>1.8600000000000014</v>
      </c>
      <c r="D190" s="306">
        <f t="shared" ca="1" si="66"/>
        <v>7.3908538185657537</v>
      </c>
      <c r="E190" s="307">
        <f t="shared" ca="1" si="67"/>
        <v>59.027151404695744</v>
      </c>
      <c r="F190" s="304">
        <f t="shared" ca="1" si="68"/>
        <v>59.488060340880864</v>
      </c>
      <c r="G190" s="306">
        <f t="shared" ca="1" si="69"/>
        <v>15.309834649933196</v>
      </c>
      <c r="H190" s="307">
        <f t="shared" ca="1" si="70"/>
        <v>142.49508769516979</v>
      </c>
      <c r="I190" s="304">
        <f t="shared" ca="1" si="71"/>
        <v>143.31518082276708</v>
      </c>
      <c r="J190" s="306">
        <f t="shared" ca="1" si="72"/>
        <v>14.229558421044775</v>
      </c>
      <c r="K190" s="307">
        <f t="shared" ca="1" si="73"/>
        <v>140.38468399884755</v>
      </c>
      <c r="L190" s="304">
        <f t="shared" ca="1" si="58"/>
        <v>141.10400360838173</v>
      </c>
      <c r="M190" s="306">
        <f t="shared" ca="1" si="74"/>
        <v>1.4637657660320793</v>
      </c>
      <c r="N190" s="304">
        <f t="shared" ca="1" si="75"/>
        <v>83.86760058937206</v>
      </c>
      <c r="P190" s="310">
        <f t="shared" ca="1" si="76"/>
        <v>5</v>
      </c>
      <c r="Q190" s="304">
        <f t="shared" ca="1" si="77"/>
        <v>607.16999999999973</v>
      </c>
      <c r="R190" s="306">
        <f t="shared" ca="1" si="78"/>
        <v>0.30471033390498292</v>
      </c>
      <c r="S190" s="307">
        <f t="shared" ca="1" si="79"/>
        <v>7.8303067409649376</v>
      </c>
      <c r="T190" s="304">
        <f t="shared" ca="1" si="59"/>
        <v>76.815309128866048</v>
      </c>
      <c r="U190" s="311">
        <f t="shared" ca="1" si="60"/>
        <v>0</v>
      </c>
      <c r="V190" s="306">
        <f t="shared" ca="1" si="61"/>
        <v>1.2079227454592549</v>
      </c>
      <c r="W190" s="304">
        <f t="shared" ca="1" si="62"/>
        <v>65.590124414962915</v>
      </c>
      <c r="Y190" s="314" t="str">
        <f t="shared" ca="1" si="80"/>
        <v/>
      </c>
      <c r="Z190" s="315" t="str">
        <f t="shared" ca="1" si="81"/>
        <v/>
      </c>
      <c r="AA190" s="316" t="str">
        <f t="shared" ca="1" si="82"/>
        <v/>
      </c>
      <c r="AC190" s="310" t="e">
        <f t="shared" ca="1" si="83"/>
        <v>#N/A</v>
      </c>
      <c r="AD190" s="323" t="e">
        <f t="shared" ca="1" si="84"/>
        <v>#N/A</v>
      </c>
      <c r="AE190" s="324">
        <f t="shared" ca="1" si="63"/>
        <v>140.38468399884755</v>
      </c>
      <c r="AG190" s="306">
        <f t="shared" ca="1" si="85"/>
        <v>59.478841474530896</v>
      </c>
      <c r="AH190" s="304">
        <f t="shared" ca="1" si="86"/>
        <v>69.232782218255636</v>
      </c>
    </row>
    <row r="191" spans="1:34" x14ac:dyDescent="0.2">
      <c r="A191" s="347">
        <f t="shared" ca="1" si="64"/>
        <v>0.01</v>
      </c>
      <c r="B191" s="304">
        <f t="shared" ca="1" si="65"/>
        <v>1.8700000000000014</v>
      </c>
      <c r="D191" s="306">
        <f t="shared" ca="1" si="66"/>
        <v>7.3715415305708367</v>
      </c>
      <c r="E191" s="307">
        <f t="shared" ca="1" si="67"/>
        <v>58.800045821223847</v>
      </c>
      <c r="F191" s="304">
        <f t="shared" ca="1" si="68"/>
        <v>59.260315668370808</v>
      </c>
      <c r="G191" s="306">
        <f t="shared" ca="1" si="69"/>
        <v>15.383550065238904</v>
      </c>
      <c r="H191" s="307">
        <f t="shared" ca="1" si="70"/>
        <v>143.08308815338202</v>
      </c>
      <c r="I191" s="304">
        <f t="shared" ca="1" si="71"/>
        <v>143.9076916919947</v>
      </c>
      <c r="J191" s="306">
        <f t="shared" ca="1" si="72"/>
        <v>14.383025344620636</v>
      </c>
      <c r="K191" s="307">
        <f t="shared" ca="1" si="73"/>
        <v>141.81257487809032</v>
      </c>
      <c r="L191" s="304">
        <f t="shared" ca="1" si="58"/>
        <v>142.54009194475066</v>
      </c>
      <c r="M191" s="306">
        <f t="shared" ca="1" si="74"/>
        <v>1.4636929439142625</v>
      </c>
      <c r="N191" s="304">
        <f t="shared" ca="1" si="75"/>
        <v>83.863428189365962</v>
      </c>
      <c r="P191" s="310">
        <f t="shared" ca="1" si="76"/>
        <v>5</v>
      </c>
      <c r="Q191" s="304">
        <f t="shared" ca="1" si="77"/>
        <v>605.70999999999981</v>
      </c>
      <c r="R191" s="306">
        <f t="shared" ca="1" si="78"/>
        <v>0.30397762792889504</v>
      </c>
      <c r="S191" s="307">
        <f t="shared" ca="1" si="79"/>
        <v>7.8272669646856485</v>
      </c>
      <c r="T191" s="304">
        <f t="shared" ca="1" si="59"/>
        <v>76.78548892356622</v>
      </c>
      <c r="U191" s="311">
        <f t="shared" ca="1" si="60"/>
        <v>0</v>
      </c>
      <c r="V191" s="306">
        <f t="shared" ca="1" si="61"/>
        <v>1.2077502710016939</v>
      </c>
      <c r="W191" s="304">
        <f t="shared" ca="1" si="62"/>
        <v>66.124143743590452</v>
      </c>
      <c r="Y191" s="314" t="str">
        <f t="shared" ca="1" si="80"/>
        <v/>
      </c>
      <c r="Z191" s="315" t="str">
        <f t="shared" ca="1" si="81"/>
        <v/>
      </c>
      <c r="AA191" s="316" t="str">
        <f t="shared" ca="1" si="82"/>
        <v/>
      </c>
      <c r="AC191" s="310" t="e">
        <f t="shared" ca="1" si="83"/>
        <v>#N/A</v>
      </c>
      <c r="AD191" s="323" t="e">
        <f t="shared" ca="1" si="84"/>
        <v>#N/A</v>
      </c>
      <c r="AE191" s="324">
        <f t="shared" ca="1" si="63"/>
        <v>141.81257487809032</v>
      </c>
      <c r="AG191" s="306">
        <f t="shared" ca="1" si="85"/>
        <v>59.251048765201546</v>
      </c>
      <c r="AH191" s="304">
        <f t="shared" ca="1" si="86"/>
        <v>69.004912956450909</v>
      </c>
    </row>
    <row r="192" spans="1:34" x14ac:dyDescent="0.2">
      <c r="A192" s="347">
        <f t="shared" ca="1" si="64"/>
        <v>0.01</v>
      </c>
      <c r="B192" s="304">
        <f t="shared" ca="1" si="65"/>
        <v>1.8800000000000014</v>
      </c>
      <c r="D192" s="306">
        <f t="shared" ca="1" si="66"/>
        <v>7.3521534524609589</v>
      </c>
      <c r="E192" s="307">
        <f t="shared" ca="1" si="67"/>
        <v>58.572708548706274</v>
      </c>
      <c r="F192" s="304">
        <f t="shared" ca="1" si="68"/>
        <v>59.032333065195914</v>
      </c>
      <c r="G192" s="306">
        <f t="shared" ca="1" si="69"/>
        <v>15.457071599763513</v>
      </c>
      <c r="H192" s="307">
        <f t="shared" ca="1" si="70"/>
        <v>143.66881523886909</v>
      </c>
      <c r="I192" s="304">
        <f t="shared" ca="1" si="71"/>
        <v>144.4979222500466</v>
      </c>
      <c r="J192" s="306">
        <f t="shared" ca="1" si="72"/>
        <v>14.537228452945648</v>
      </c>
      <c r="K192" s="307">
        <f t="shared" ca="1" si="73"/>
        <v>143.24633439505158</v>
      </c>
      <c r="L192" s="304">
        <f t="shared" ca="1" si="58"/>
        <v>143.98209377805307</v>
      </c>
      <c r="M192" s="306">
        <f t="shared" ca="1" si="74"/>
        <v>1.4636203700968784</v>
      </c>
      <c r="N192" s="304">
        <f t="shared" ca="1" si="75"/>
        <v>83.859270015926697</v>
      </c>
      <c r="P192" s="310">
        <f t="shared" ca="1" si="76"/>
        <v>5</v>
      </c>
      <c r="Q192" s="304">
        <f t="shared" ca="1" si="77"/>
        <v>604.24999999999977</v>
      </c>
      <c r="R192" s="306">
        <f t="shared" ca="1" si="78"/>
        <v>0.30324492195280717</v>
      </c>
      <c r="S192" s="307">
        <f t="shared" ca="1" si="79"/>
        <v>7.8242345154661201</v>
      </c>
      <c r="T192" s="304">
        <f t="shared" ca="1" si="59"/>
        <v>76.755740596722646</v>
      </c>
      <c r="U192" s="311">
        <f t="shared" ca="1" si="60"/>
        <v>0</v>
      </c>
      <c r="V192" s="306">
        <f t="shared" ca="1" si="61"/>
        <v>1.2075771122766537</v>
      </c>
      <c r="W192" s="304">
        <f t="shared" ca="1" si="62"/>
        <v>66.658107803693468</v>
      </c>
      <c r="Y192" s="314" t="str">
        <f t="shared" ca="1" si="80"/>
        <v/>
      </c>
      <c r="Z192" s="315" t="str">
        <f t="shared" ca="1" si="81"/>
        <v/>
      </c>
      <c r="AA192" s="316" t="str">
        <f t="shared" ca="1" si="82"/>
        <v/>
      </c>
      <c r="AC192" s="310" t="e">
        <f t="shared" ca="1" si="83"/>
        <v>#N/A</v>
      </c>
      <c r="AD192" s="323" t="e">
        <f t="shared" ca="1" si="84"/>
        <v>#N/A</v>
      </c>
      <c r="AE192" s="324">
        <f t="shared" ca="1" si="63"/>
        <v>143.24633439505158</v>
      </c>
      <c r="AG192" s="306">
        <f t="shared" ca="1" si="85"/>
        <v>59.023017751959692</v>
      </c>
      <c r="AH192" s="304">
        <f t="shared" ca="1" si="86"/>
        <v>68.776805602222041</v>
      </c>
    </row>
    <row r="193" spans="1:34" x14ac:dyDescent="0.2">
      <c r="A193" s="347">
        <f t="shared" ca="1" si="64"/>
        <v>0.01</v>
      </c>
      <c r="B193" s="304">
        <f t="shared" ca="1" si="65"/>
        <v>1.8900000000000015</v>
      </c>
      <c r="D193" s="306">
        <f t="shared" ca="1" si="66"/>
        <v>7.3326903452248944</v>
      </c>
      <c r="E193" s="307">
        <f t="shared" ca="1" si="67"/>
        <v>58.345143593180524</v>
      </c>
      <c r="F193" s="304">
        <f t="shared" ca="1" si="68"/>
        <v>58.804116595760618</v>
      </c>
      <c r="G193" s="306">
        <f t="shared" ca="1" si="69"/>
        <v>15.530398503215762</v>
      </c>
      <c r="H193" s="307">
        <f t="shared" ca="1" si="70"/>
        <v>144.25226667480089</v>
      </c>
      <c r="I193" s="304">
        <f t="shared" ca="1" si="71"/>
        <v>145.08587015449353</v>
      </c>
      <c r="J193" s="306">
        <f t="shared" ca="1" si="72"/>
        <v>14.692165803460544</v>
      </c>
      <c r="K193" s="307">
        <f t="shared" ca="1" si="73"/>
        <v>144.68593980461992</v>
      </c>
      <c r="L193" s="304">
        <f t="shared" ca="1" si="58"/>
        <v>145.42998629286353</v>
      </c>
      <c r="M193" s="306">
        <f t="shared" ca="1" si="74"/>
        <v>1.4635480415890842</v>
      </c>
      <c r="N193" s="304">
        <f t="shared" ca="1" si="75"/>
        <v>83.855125897691607</v>
      </c>
      <c r="P193" s="310">
        <f t="shared" ca="1" si="76"/>
        <v>5</v>
      </c>
      <c r="Q193" s="304">
        <f t="shared" ca="1" si="77"/>
        <v>602.78999999999974</v>
      </c>
      <c r="R193" s="306">
        <f t="shared" ca="1" si="78"/>
        <v>0.30251221597671929</v>
      </c>
      <c r="S193" s="307">
        <f t="shared" ca="1" si="79"/>
        <v>7.8212093933063533</v>
      </c>
      <c r="T193" s="304">
        <f t="shared" ca="1" si="59"/>
        <v>76.726064148335325</v>
      </c>
      <c r="U193" s="311">
        <f t="shared" ca="1" si="60"/>
        <v>0</v>
      </c>
      <c r="V193" s="306">
        <f t="shared" ca="1" si="61"/>
        <v>1.2074032723279695</v>
      </c>
      <c r="W193" s="304">
        <f t="shared" ca="1" si="62"/>
        <v>67.191987834844326</v>
      </c>
      <c r="Y193" s="314" t="str">
        <f t="shared" ca="1" si="80"/>
        <v/>
      </c>
      <c r="Z193" s="315" t="str">
        <f t="shared" ca="1" si="81"/>
        <v/>
      </c>
      <c r="AA193" s="316" t="str">
        <f t="shared" ca="1" si="82"/>
        <v/>
      </c>
      <c r="AC193" s="310" t="e">
        <f t="shared" ca="1" si="83"/>
        <v>#N/A</v>
      </c>
      <c r="AD193" s="323" t="e">
        <f t="shared" ca="1" si="84"/>
        <v>#N/A</v>
      </c>
      <c r="AE193" s="324">
        <f t="shared" ca="1" si="63"/>
        <v>144.68593980461992</v>
      </c>
      <c r="AG193" s="306">
        <f t="shared" ca="1" si="85"/>
        <v>58.794752494486019</v>
      </c>
      <c r="AH193" s="304">
        <f t="shared" ca="1" si="86"/>
        <v>68.548464212599328</v>
      </c>
    </row>
    <row r="194" spans="1:34" x14ac:dyDescent="0.2">
      <c r="A194" s="347">
        <f t="shared" ca="1" si="64"/>
        <v>0.01</v>
      </c>
      <c r="B194" s="304">
        <f t="shared" ca="1" si="65"/>
        <v>1.9000000000000015</v>
      </c>
      <c r="D194" s="306">
        <f t="shared" ca="1" si="66"/>
        <v>7.3131529646473989</v>
      </c>
      <c r="E194" s="307">
        <f t="shared" ca="1" si="67"/>
        <v>58.117354953028922</v>
      </c>
      <c r="F194" s="304">
        <f t="shared" ca="1" si="68"/>
        <v>58.575670316443549</v>
      </c>
      <c r="G194" s="306">
        <f t="shared" ca="1" si="69"/>
        <v>15.603530032862237</v>
      </c>
      <c r="H194" s="307">
        <f t="shared" ca="1" si="70"/>
        <v>144.83344022433118</v>
      </c>
      <c r="I194" s="304">
        <f t="shared" ca="1" si="71"/>
        <v>145.67153310342192</v>
      </c>
      <c r="J194" s="306">
        <f t="shared" ca="1" si="72"/>
        <v>14.847835446140934</v>
      </c>
      <c r="K194" s="307">
        <f t="shared" ca="1" si="73"/>
        <v>146.13136833911557</v>
      </c>
      <c r="L194" s="304">
        <f t="shared" ca="1" si="58"/>
        <v>146.88374665053294</v>
      </c>
      <c r="M194" s="306">
        <f t="shared" ca="1" si="74"/>
        <v>1.4634759554446388</v>
      </c>
      <c r="N194" s="304">
        <f t="shared" ca="1" si="75"/>
        <v>83.850995665853517</v>
      </c>
      <c r="P194" s="310">
        <f t="shared" ca="1" si="76"/>
        <v>5</v>
      </c>
      <c r="Q194" s="304">
        <f t="shared" ca="1" si="77"/>
        <v>601.32999999999981</v>
      </c>
      <c r="R194" s="306">
        <f t="shared" ca="1" si="78"/>
        <v>0.30177951000063147</v>
      </c>
      <c r="S194" s="307">
        <f t="shared" ca="1" si="79"/>
        <v>7.8181915982063472</v>
      </c>
      <c r="T194" s="304">
        <f t="shared" ca="1" si="59"/>
        <v>76.696459578404273</v>
      </c>
      <c r="U194" s="311">
        <f t="shared" ca="1" si="60"/>
        <v>0</v>
      </c>
      <c r="V194" s="306">
        <f t="shared" ca="1" si="61"/>
        <v>1.2072287542017379</v>
      </c>
      <c r="W194" s="304">
        <f t="shared" ca="1" si="62"/>
        <v>67.725755200132866</v>
      </c>
      <c r="Y194" s="314" t="str">
        <f t="shared" ca="1" si="80"/>
        <v/>
      </c>
      <c r="Z194" s="315" t="str">
        <f t="shared" ca="1" si="81"/>
        <v/>
      </c>
      <c r="AA194" s="316" t="str">
        <f t="shared" ca="1" si="82"/>
        <v/>
      </c>
      <c r="AC194" s="310" t="e">
        <f t="shared" ca="1" si="83"/>
        <v>#N/A</v>
      </c>
      <c r="AD194" s="323" t="e">
        <f t="shared" ca="1" si="84"/>
        <v>#N/A</v>
      </c>
      <c r="AE194" s="324">
        <f t="shared" ca="1" si="63"/>
        <v>146.13136833911557</v>
      </c>
      <c r="AG194" s="306">
        <f t="shared" ca="1" si="85"/>
        <v>58.566257044371227</v>
      </c>
      <c r="AH194" s="304">
        <f t="shared" ca="1" si="86"/>
        <v>68.319892836560527</v>
      </c>
    </row>
    <row r="195" spans="1:34" x14ac:dyDescent="0.2">
      <c r="A195" s="347">
        <f t="shared" ca="1" si="64"/>
        <v>0.01</v>
      </c>
      <c r="B195" s="304">
        <f t="shared" ca="1" si="65"/>
        <v>1.9100000000000015</v>
      </c>
      <c r="D195" s="306">
        <f t="shared" ca="1" si="66"/>
        <v>7.2935420613846915</v>
      </c>
      <c r="E195" s="307">
        <f t="shared" ca="1" si="67"/>
        <v>57.889346618774937</v>
      </c>
      <c r="F195" s="304">
        <f t="shared" ca="1" si="68"/>
        <v>58.346998275402797</v>
      </c>
      <c r="G195" s="306">
        <f t="shared" ca="1" si="69"/>
        <v>15.676465453476084</v>
      </c>
      <c r="H195" s="307">
        <f t="shared" ca="1" si="70"/>
        <v>145.41233369051892</v>
      </c>
      <c r="I195" s="304">
        <f t="shared" ca="1" si="71"/>
        <v>146.25490883535107</v>
      </c>
      <c r="J195" s="306">
        <f t="shared" ca="1" si="72"/>
        <v>15.004235423572625</v>
      </c>
      <c r="K195" s="307">
        <f t="shared" ca="1" si="73"/>
        <v>147.5825972086898</v>
      </c>
      <c r="L195" s="304">
        <f t="shared" ca="1" si="58"/>
        <v>148.34335198959326</v>
      </c>
      <c r="M195" s="306">
        <f t="shared" ca="1" si="74"/>
        <v>1.4634041087609739</v>
      </c>
      <c r="N195" s="304">
        <f t="shared" ca="1" si="75"/>
        <v>83.846879154107512</v>
      </c>
      <c r="P195" s="310">
        <f t="shared" ca="1" si="76"/>
        <v>5</v>
      </c>
      <c r="Q195" s="304">
        <f t="shared" ca="1" si="77"/>
        <v>599.86999999999978</v>
      </c>
      <c r="R195" s="306">
        <f t="shared" ca="1" si="78"/>
        <v>0.30104680402454354</v>
      </c>
      <c r="S195" s="307">
        <f t="shared" ca="1" si="79"/>
        <v>7.8151811301661018</v>
      </c>
      <c r="T195" s="304">
        <f t="shared" ca="1" si="59"/>
        <v>76.66692688692946</v>
      </c>
      <c r="U195" s="311">
        <f t="shared" ca="1" si="60"/>
        <v>0</v>
      </c>
      <c r="V195" s="306">
        <f t="shared" ca="1" si="61"/>
        <v>1.2070535609462458</v>
      </c>
      <c r="W195" s="304">
        <f t="shared" ca="1" si="62"/>
        <v>68.259381387271461</v>
      </c>
      <c r="Y195" s="314" t="str">
        <f t="shared" ca="1" si="80"/>
        <v/>
      </c>
      <c r="Z195" s="315" t="str">
        <f t="shared" ca="1" si="81"/>
        <v/>
      </c>
      <c r="AA195" s="316" t="str">
        <f t="shared" ca="1" si="82"/>
        <v/>
      </c>
      <c r="AC195" s="310" t="e">
        <f t="shared" ca="1" si="83"/>
        <v>#N/A</v>
      </c>
      <c r="AD195" s="323" t="e">
        <f t="shared" ca="1" si="84"/>
        <v>#N/A</v>
      </c>
      <c r="AE195" s="324">
        <f t="shared" ca="1" si="63"/>
        <v>147.5825972086898</v>
      </c>
      <c r="AG195" s="306">
        <f t="shared" ca="1" si="85"/>
        <v>58.33753544491983</v>
      </c>
      <c r="AH195" s="304">
        <f t="shared" ca="1" si="86"/>
        <v>68.09109551483381</v>
      </c>
    </row>
    <row r="196" spans="1:34" x14ac:dyDescent="0.2">
      <c r="A196" s="347">
        <f t="shared" ca="1" si="64"/>
        <v>0.01</v>
      </c>
      <c r="B196" s="304">
        <f t="shared" ca="1" si="65"/>
        <v>1.9200000000000015</v>
      </c>
      <c r="D196" s="306">
        <f t="shared" ca="1" si="66"/>
        <v>7.2738583810376518</v>
      </c>
      <c r="E196" s="307">
        <f t="shared" ca="1" si="67"/>
        <v>57.661122572881411</v>
      </c>
      <c r="F196" s="304">
        <f t="shared" ca="1" si="68"/>
        <v>58.118104512382764</v>
      </c>
      <c r="G196" s="306">
        <f t="shared" ca="1" si="69"/>
        <v>15.749204037286461</v>
      </c>
      <c r="H196" s="307">
        <f t="shared" ca="1" si="70"/>
        <v>145.98894491624773</v>
      </c>
      <c r="I196" s="304">
        <f t="shared" ca="1" si="71"/>
        <v>146.83599512914842</v>
      </c>
      <c r="J196" s="306">
        <f t="shared" ca="1" si="72"/>
        <v>15.161363771026439</v>
      </c>
      <c r="K196" s="307">
        <f t="shared" ca="1" si="73"/>
        <v>149.03960360172363</v>
      </c>
      <c r="L196" s="304">
        <f t="shared" ref="L196:L259" ca="1" si="87">SQRT(pos_x^2+pos_z^2)</f>
        <v>149.80877942616149</v>
      </c>
      <c r="M196" s="306">
        <f t="shared" ca="1" si="74"/>
        <v>1.4633324986782923</v>
      </c>
      <c r="N196" s="304">
        <f t="shared" ca="1" si="75"/>
        <v>83.842776198599267</v>
      </c>
      <c r="P196" s="310">
        <f t="shared" ca="1" si="76"/>
        <v>5</v>
      </c>
      <c r="Q196" s="304">
        <f t="shared" ca="1" si="77"/>
        <v>598.40999999999974</v>
      </c>
      <c r="R196" s="306">
        <f t="shared" ca="1" si="78"/>
        <v>0.30031409804845566</v>
      </c>
      <c r="S196" s="307">
        <f t="shared" ca="1" si="79"/>
        <v>7.8121779891856171</v>
      </c>
      <c r="T196" s="304">
        <f t="shared" ref="T196:T259" ca="1" si="88">m*g</f>
        <v>76.637466073910915</v>
      </c>
      <c r="U196" s="311">
        <f t="shared" ref="U196:U259" ca="1" si="89">IF(pos_xz&lt;L_rampe,Poids*COS(Beta),0)</f>
        <v>0</v>
      </c>
      <c r="V196" s="306">
        <f t="shared" ref="V196:V259" ca="1" si="90">Rho_moyen*(20000-Alt_rampe-pos_z)/(20000+Alt_rampe+pos_z)</f>
        <v>1.2068776956119065</v>
      </c>
      <c r="W196" s="304">
        <f t="shared" ref="W196:W259" ca="1" si="91">1/2*Rho*Sref*Cx*vit_xz^2</f>
        <v>68.792838009684885</v>
      </c>
      <c r="Y196" s="314" t="str">
        <f t="shared" ca="1" si="80"/>
        <v/>
      </c>
      <c r="Z196" s="315" t="str">
        <f t="shared" ca="1" si="81"/>
        <v/>
      </c>
      <c r="AA196" s="316" t="str">
        <f t="shared" ca="1" si="82"/>
        <v/>
      </c>
      <c r="AC196" s="310" t="e">
        <f t="shared" ca="1" si="83"/>
        <v>#N/A</v>
      </c>
      <c r="AD196" s="323" t="e">
        <f t="shared" ca="1" si="84"/>
        <v>#N/A</v>
      </c>
      <c r="AE196" s="324">
        <f t="shared" ref="AE196:AE259" ca="1" si="92">IF(t&lt;T_para, pos_z, NA())</f>
        <v>149.03960360172363</v>
      </c>
      <c r="AG196" s="306">
        <f t="shared" ca="1" si="85"/>
        <v>58.108591730955681</v>
      </c>
      <c r="AH196" s="304">
        <f t="shared" ca="1" si="86"/>
        <v>67.862076279702634</v>
      </c>
    </row>
    <row r="197" spans="1:34" x14ac:dyDescent="0.2">
      <c r="A197" s="347">
        <f t="shared" ref="A197:A260" ca="1" si="93">IF(B196+0.01&lt;=T_ini+ROUNDUP(Temps_fin_propu,0), 0.01, IF(K196&gt;0, 0.1, 0.0001))</f>
        <v>0.01</v>
      </c>
      <c r="B197" s="304">
        <f t="shared" ref="B197:B260" ca="1" si="94">B196+pas</f>
        <v>1.9300000000000015</v>
      </c>
      <c r="D197" s="306">
        <f t="shared" ref="D197:D260" ca="1" si="95">IF(AND(L196&lt;L_rampe,Poussee&lt;Poids*SIN(M196)),0,(-W196+Poussee)/m*COS(M196)-U196/m*SIN(M196))</f>
        <v>7.2541026642224562</v>
      </c>
      <c r="E197" s="307">
        <f t="shared" ref="E197:E260" ca="1" si="96">IF(AND(L196&lt;L_rampe,Poussee&lt;Poids*SIN(M196)),0,(-W196+Poussee)/m*SIN(M196)+U196/m*COS(M196)-Poids/m)</f>
        <v>57.432686789550459</v>
      </c>
      <c r="F197" s="304">
        <f t="shared" ref="F197:F260" ca="1" si="97">SQRT(acc_x^2+acc_z^2)</f>
        <v>57.888993058522651</v>
      </c>
      <c r="G197" s="306">
        <f t="shared" ref="G197:G260" ca="1" si="98">G196+acc_x*pas</f>
        <v>15.821745063928685</v>
      </c>
      <c r="H197" s="307">
        <f t="shared" ref="H197:H260" ca="1" si="99">H196+acc_z*pas</f>
        <v>146.56327178414324</v>
      </c>
      <c r="I197" s="304">
        <f t="shared" ref="I197:I260" ca="1" si="100">SQRT(vit_x^2+vit_z^2)</f>
        <v>147.41478980394263</v>
      </c>
      <c r="J197" s="306">
        <f t="shared" ref="J197:J260" ca="1" si="101">J196+0.5*(vit_x+G196)*pas*(K196&gt;=0)</f>
        <v>15.319218516532514</v>
      </c>
      <c r="K197" s="307">
        <f t="shared" ref="K197:K260" ca="1" si="102">K196+0.5*(vit_z+H196)*pas</f>
        <v>150.50236468522559</v>
      </c>
      <c r="L197" s="304">
        <f t="shared" ca="1" si="87"/>
        <v>151.28000605434252</v>
      </c>
      <c r="M197" s="306">
        <f t="shared" ref="M197:M260" ca="1" si="103">IF(AND(L196&gt;L_rampe,G197&gt;0),ATAN2(G197,H197),$M$4)</f>
        <v>1.4632611223786882</v>
      </c>
      <c r="N197" s="304">
        <f t="shared" ref="N197:N260" ca="1" si="104">DEGREES(Beta)</f>
        <v>83.838686637874687</v>
      </c>
      <c r="P197" s="310">
        <f t="shared" ref="P197:P260" ca="1" si="105">MATCH(t-pas/2-T_ini,CdP_t)</f>
        <v>5</v>
      </c>
      <c r="Q197" s="304">
        <f t="shared" ref="Q197:Q260" ca="1" si="106">(INDEX(CdP,2,i_P+1)-INDEX(CdP,2,i_P+0))/(INDEX(CdP,1,i_P+1)-INDEX(CdP,1,i_P+0))*(t-pas/2-T_ini-INDEX(CdP,1,i_P+0))+INDEX(CdP,2,i_P+0)</f>
        <v>596.94999999999982</v>
      </c>
      <c r="R197" s="306">
        <f t="shared" ref="R197:R260" ca="1" si="107">Poussee/(g*ISP)</f>
        <v>0.29958139207236784</v>
      </c>
      <c r="S197" s="307">
        <f t="shared" ref="S197:S260" ca="1" si="108">S196-Débit*pas</f>
        <v>7.8091821752648931</v>
      </c>
      <c r="T197" s="304">
        <f t="shared" ca="1" si="88"/>
        <v>76.608077139348609</v>
      </c>
      <c r="U197" s="311">
        <f t="shared" ca="1" si="89"/>
        <v>0</v>
      </c>
      <c r="V197" s="306">
        <f t="shared" ca="1" si="90"/>
        <v>1.2067011612511946</v>
      </c>
      <c r="W197" s="304">
        <f t="shared" ca="1" si="91"/>
        <v>69.326096807584406</v>
      </c>
      <c r="Y197" s="314" t="str">
        <f t="shared" ref="Y197:Y260" ca="1" si="109">IF(AND(pos_z&lt;=0,K196&gt;0),"Impact balistique","") &amp; IF(AND(H198&lt;0,vit_z&gt;=0),"Apogée","") &amp; IF(AND(Poussee=0,Q196&gt;0),"Fin de propulsion","") &amp; IF(AND(L198&gt;L_rampe,pos_xz&lt;=L_rampe),"Sortie de rampe","")</f>
        <v/>
      </c>
      <c r="Z197" s="315" t="str">
        <f t="shared" ref="Z197:Z260" ca="1" si="110">IF(ABS(t-T_para)&lt;pas/2,"Para","")</f>
        <v/>
      </c>
      <c r="AA197" s="316" t="str">
        <f t="shared" ref="AA197:AA260" ca="1" si="111">IF(ABS(t-T_satellite)&lt;pas/2,"Satellite","")</f>
        <v/>
      </c>
      <c r="AC197" s="310" t="e">
        <f t="shared" ref="AC197:AC260" ca="1" si="112">IF(ABS(t-ROUND(t,0))&lt;0.001,t,NA())</f>
        <v>#N/A</v>
      </c>
      <c r="AD197" s="323" t="e">
        <f t="shared" ref="AD197:AD260" ca="1" si="113">IF(ABS(t-ROUND(t,0))&lt;0.001,pos_x,NA())</f>
        <v>#N/A</v>
      </c>
      <c r="AE197" s="324">
        <f t="shared" ca="1" si="92"/>
        <v>150.50236468522559</v>
      </c>
      <c r="AG197" s="306">
        <f t="shared" ref="AG197:AG260" ca="1" si="114">IF(AND(L196&lt;L_rampe,Poussee&lt;Poids*SIN(M196)),0,(-W196+Poussee)/m-Poids*SIN(M196)/m)</f>
        <v>57.879429928629001</v>
      </c>
      <c r="AH197" s="304">
        <f t="shared" ref="AH197:AH260" ca="1" si="115">IF(AND(L196&lt;L_rampe,Poussee&lt;Poids*SIN(M196)), g*SIN(M196), (-W196+Poussee)/m)</f>
        <v>67.632839154811947</v>
      </c>
    </row>
    <row r="198" spans="1:34" x14ac:dyDescent="0.2">
      <c r="A198" s="347">
        <f t="shared" ca="1" si="93"/>
        <v>0.01</v>
      </c>
      <c r="B198" s="304">
        <f t="shared" ca="1" si="94"/>
        <v>1.9400000000000015</v>
      </c>
      <c r="D198" s="306">
        <f t="shared" ca="1" si="95"/>
        <v>7.2342756466389568</v>
      </c>
      <c r="E198" s="307">
        <f t="shared" ca="1" si="96"/>
        <v>57.204043234525329</v>
      </c>
      <c r="F198" s="304">
        <f t="shared" ca="1" si="97"/>
        <v>57.659667936166578</v>
      </c>
      <c r="G198" s="306">
        <f t="shared" ca="1" si="98"/>
        <v>15.894087820395074</v>
      </c>
      <c r="H198" s="307">
        <f t="shared" ca="1" si="99"/>
        <v>147.1353122164885</v>
      </c>
      <c r="I198" s="304">
        <f t="shared" ca="1" si="100"/>
        <v>147.99129071903516</v>
      </c>
      <c r="J198" s="306">
        <f t="shared" ca="1" si="101"/>
        <v>15.477797680954133</v>
      </c>
      <c r="K198" s="307">
        <f t="shared" ca="1" si="102"/>
        <v>151.97085760522876</v>
      </c>
      <c r="L198" s="304">
        <f t="shared" ca="1" si="87"/>
        <v>152.75700894663154</v>
      </c>
      <c r="M198" s="306">
        <f t="shared" ca="1" si="103"/>
        <v>1.4631899770852881</v>
      </c>
      <c r="N198" s="304">
        <f t="shared" ca="1" si="104"/>
        <v>83.834610312830648</v>
      </c>
      <c r="P198" s="310">
        <f t="shared" ca="1" si="105"/>
        <v>5</v>
      </c>
      <c r="Q198" s="304">
        <f t="shared" ca="1" si="106"/>
        <v>595.48999999999978</v>
      </c>
      <c r="R198" s="306">
        <f t="shared" ca="1" si="107"/>
        <v>0.2988486860962799</v>
      </c>
      <c r="S198" s="307">
        <f t="shared" ca="1" si="108"/>
        <v>7.8061936884039307</v>
      </c>
      <c r="T198" s="304">
        <f t="shared" ca="1" si="88"/>
        <v>76.578760083242571</v>
      </c>
      <c r="U198" s="311">
        <f t="shared" ca="1" si="89"/>
        <v>0</v>
      </c>
      <c r="V198" s="306">
        <f t="shared" ca="1" si="90"/>
        <v>1.2065239609185772</v>
      </c>
      <c r="W198" s="304">
        <f t="shared" ca="1" si="91"/>
        <v>69.8591296490264</v>
      </c>
      <c r="Y198" s="314" t="str">
        <f t="shared" ca="1" si="109"/>
        <v/>
      </c>
      <c r="Z198" s="315" t="str">
        <f t="shared" ca="1" si="110"/>
        <v/>
      </c>
      <c r="AA198" s="316" t="str">
        <f t="shared" ca="1" si="111"/>
        <v/>
      </c>
      <c r="AC198" s="310" t="e">
        <f t="shared" ca="1" si="112"/>
        <v>#N/A</v>
      </c>
      <c r="AD198" s="323" t="e">
        <f t="shared" ca="1" si="113"/>
        <v>#N/A</v>
      </c>
      <c r="AE198" s="324">
        <f t="shared" ca="1" si="92"/>
        <v>151.97085760522876</v>
      </c>
      <c r="AG198" s="306">
        <f t="shared" ca="1" si="114"/>
        <v>57.650054055225013</v>
      </c>
      <c r="AH198" s="304">
        <f t="shared" ca="1" si="115"/>
        <v>67.403388154976184</v>
      </c>
    </row>
    <row r="199" spans="1:34" x14ac:dyDescent="0.2">
      <c r="A199" s="347">
        <f t="shared" ca="1" si="93"/>
        <v>0.01</v>
      </c>
      <c r="B199" s="304">
        <f t="shared" ca="1" si="94"/>
        <v>1.9500000000000015</v>
      </c>
      <c r="D199" s="306">
        <f t="shared" ca="1" si="95"/>
        <v>7.2143780591370481</v>
      </c>
      <c r="E199" s="307">
        <f t="shared" ca="1" si="96"/>
        <v>56.975195864894204</v>
      </c>
      <c r="F199" s="304">
        <f t="shared" ca="1" si="97"/>
        <v>57.430133158675638</v>
      </c>
      <c r="G199" s="306">
        <f t="shared" ca="1" si="98"/>
        <v>15.966231600986443</v>
      </c>
      <c r="H199" s="307">
        <f t="shared" ca="1" si="99"/>
        <v>147.70506417513744</v>
      </c>
      <c r="I199" s="304">
        <f t="shared" ca="1" si="100"/>
        <v>148.56549577380949</v>
      </c>
      <c r="J199" s="306">
        <f t="shared" ca="1" si="101"/>
        <v>15.63709927806104</v>
      </c>
      <c r="K199" s="307">
        <f t="shared" ca="1" si="102"/>
        <v>153.44505948718688</v>
      </c>
      <c r="L199" s="304">
        <f t="shared" ca="1" si="87"/>
        <v>154.23976515431505</v>
      </c>
      <c r="M199" s="306">
        <f t="shared" ca="1" si="103"/>
        <v>1.4631190600614161</v>
      </c>
      <c r="N199" s="304">
        <f t="shared" ca="1" si="104"/>
        <v>83.830547066667151</v>
      </c>
      <c r="P199" s="310">
        <f t="shared" ca="1" si="105"/>
        <v>5</v>
      </c>
      <c r="Q199" s="304">
        <f t="shared" ca="1" si="106"/>
        <v>594.02999999999975</v>
      </c>
      <c r="R199" s="306">
        <f t="shared" ca="1" si="107"/>
        <v>0.29811598012019203</v>
      </c>
      <c r="S199" s="307">
        <f t="shared" ca="1" si="108"/>
        <v>7.803212528602729</v>
      </c>
      <c r="T199" s="304">
        <f t="shared" ca="1" si="88"/>
        <v>76.549514905592773</v>
      </c>
      <c r="U199" s="311">
        <f t="shared" ca="1" si="89"/>
        <v>0</v>
      </c>
      <c r="V199" s="306">
        <f t="shared" ca="1" si="90"/>
        <v>1.2063460976704508</v>
      </c>
      <c r="W199" s="304">
        <f t="shared" ca="1" si="91"/>
        <v>70.391908530955348</v>
      </c>
      <c r="Y199" s="314" t="str">
        <f t="shared" ca="1" si="109"/>
        <v/>
      </c>
      <c r="Z199" s="315" t="str">
        <f t="shared" ca="1" si="110"/>
        <v/>
      </c>
      <c r="AA199" s="316" t="str">
        <f t="shared" ca="1" si="111"/>
        <v/>
      </c>
      <c r="AC199" s="310" t="e">
        <f t="shared" ca="1" si="112"/>
        <v>#N/A</v>
      </c>
      <c r="AD199" s="323" t="e">
        <f t="shared" ca="1" si="113"/>
        <v>#N/A</v>
      </c>
      <c r="AE199" s="324">
        <f t="shared" ca="1" si="92"/>
        <v>153.44505948718688</v>
      </c>
      <c r="AG199" s="306">
        <f t="shared" ca="1" si="114"/>
        <v>57.420468118974533</v>
      </c>
      <c r="AH199" s="304">
        <f t="shared" ca="1" si="115"/>
        <v>67.173727285989131</v>
      </c>
    </row>
    <row r="200" spans="1:34" x14ac:dyDescent="0.2">
      <c r="A200" s="347">
        <f t="shared" ca="1" si="93"/>
        <v>0.01</v>
      </c>
      <c r="B200" s="304">
        <f t="shared" ca="1" si="94"/>
        <v>1.9600000000000015</v>
      </c>
      <c r="D200" s="306">
        <f t="shared" ca="1" si="95"/>
        <v>7.1944106277806039</v>
      </c>
      <c r="E200" s="307">
        <f t="shared" ca="1" si="96"/>
        <v>56.746148628895668</v>
      </c>
      <c r="F200" s="304">
        <f t="shared" ca="1" si="97"/>
        <v>57.200392730241283</v>
      </c>
      <c r="G200" s="306">
        <f t="shared" ca="1" si="98"/>
        <v>16.038175707264248</v>
      </c>
      <c r="H200" s="307">
        <f t="shared" ca="1" si="99"/>
        <v>148.27252566142639</v>
      </c>
      <c r="I200" s="304">
        <f t="shared" ca="1" si="100"/>
        <v>149.13740290763891</v>
      </c>
      <c r="J200" s="306">
        <f t="shared" ca="1" si="101"/>
        <v>15.797121314602293</v>
      </c>
      <c r="K200" s="307">
        <f t="shared" ca="1" si="102"/>
        <v>154.92494743636971</v>
      </c>
      <c r="L200" s="304">
        <f t="shared" ca="1" si="87"/>
        <v>155.72825170787146</v>
      </c>
      <c r="M200" s="306">
        <f t="shared" ca="1" si="103"/>
        <v>1.4630483686097793</v>
      </c>
      <c r="N200" s="304">
        <f t="shared" ca="1" si="104"/>
        <v>83.826496744840711</v>
      </c>
      <c r="P200" s="310">
        <f t="shared" ca="1" si="105"/>
        <v>5</v>
      </c>
      <c r="Q200" s="304">
        <f t="shared" ca="1" si="106"/>
        <v>592.56999999999971</v>
      </c>
      <c r="R200" s="306">
        <f t="shared" ca="1" si="107"/>
        <v>0.29738327414410415</v>
      </c>
      <c r="S200" s="307">
        <f t="shared" ca="1" si="108"/>
        <v>7.8002386958612879</v>
      </c>
      <c r="T200" s="304">
        <f t="shared" ca="1" si="88"/>
        <v>76.520341606399242</v>
      </c>
      <c r="U200" s="311">
        <f t="shared" ca="1" si="89"/>
        <v>0</v>
      </c>
      <c r="V200" s="306">
        <f t="shared" ca="1" si="90"/>
        <v>1.2061675745650748</v>
      </c>
      <c r="W200" s="304">
        <f t="shared" ca="1" si="91"/>
        <v>70.924405580231465</v>
      </c>
      <c r="Y200" s="314" t="str">
        <f t="shared" ca="1" si="109"/>
        <v/>
      </c>
      <c r="Z200" s="315" t="str">
        <f t="shared" ca="1" si="110"/>
        <v/>
      </c>
      <c r="AA200" s="316" t="str">
        <f t="shared" ca="1" si="111"/>
        <v/>
      </c>
      <c r="AC200" s="310" t="e">
        <f t="shared" ca="1" si="112"/>
        <v>#N/A</v>
      </c>
      <c r="AD200" s="323" t="e">
        <f t="shared" ca="1" si="113"/>
        <v>#N/A</v>
      </c>
      <c r="AE200" s="324">
        <f t="shared" ca="1" si="92"/>
        <v>154.92494743636971</v>
      </c>
      <c r="AG200" s="306">
        <f t="shared" ca="1" si="114"/>
        <v>57.190676118865809</v>
      </c>
      <c r="AH200" s="304">
        <f t="shared" ca="1" si="115"/>
        <v>66.943860544435097</v>
      </c>
    </row>
    <row r="201" spans="1:34" x14ac:dyDescent="0.2">
      <c r="A201" s="347">
        <f t="shared" ca="1" si="93"/>
        <v>0.01</v>
      </c>
      <c r="B201" s="304">
        <f t="shared" ca="1" si="94"/>
        <v>1.9700000000000015</v>
      </c>
      <c r="D201" s="306">
        <f t="shared" ca="1" si="95"/>
        <v>7.1743740739095232</v>
      </c>
      <c r="E201" s="307">
        <f t="shared" ca="1" si="96"/>
        <v>56.516905465726254</v>
      </c>
      <c r="F201" s="304">
        <f t="shared" ca="1" si="97"/>
        <v>56.97045064570073</v>
      </c>
      <c r="G201" s="306">
        <f t="shared" ca="1" si="98"/>
        <v>16.109919448003343</v>
      </c>
      <c r="H201" s="307">
        <f t="shared" ca="1" si="99"/>
        <v>148.83769471608366</v>
      </c>
      <c r="I201" s="304">
        <f t="shared" ca="1" si="100"/>
        <v>149.70701009979217</v>
      </c>
      <c r="J201" s="306">
        <f t="shared" ca="1" si="101"/>
        <v>15.957861790378631</v>
      </c>
      <c r="K201" s="307">
        <f t="shared" ca="1" si="102"/>
        <v>156.41049853825726</v>
      </c>
      <c r="L201" s="304">
        <f t="shared" ca="1" si="87"/>
        <v>157.22244561737043</v>
      </c>
      <c r="M201" s="306">
        <f t="shared" ca="1" si="103"/>
        <v>1.4629779000716718</v>
      </c>
      <c r="N201" s="304">
        <f t="shared" ca="1" si="104"/>
        <v>83.822459195018695</v>
      </c>
      <c r="P201" s="310">
        <f t="shared" ca="1" si="105"/>
        <v>5</v>
      </c>
      <c r="Q201" s="304">
        <f t="shared" ca="1" si="106"/>
        <v>591.10999999999979</v>
      </c>
      <c r="R201" s="306">
        <f t="shared" ca="1" si="107"/>
        <v>0.29665056816801633</v>
      </c>
      <c r="S201" s="307">
        <f t="shared" ca="1" si="108"/>
        <v>7.7972721901796076</v>
      </c>
      <c r="T201" s="304">
        <f t="shared" ca="1" si="88"/>
        <v>76.491240185661951</v>
      </c>
      <c r="U201" s="311">
        <f t="shared" ca="1" si="89"/>
        <v>0</v>
      </c>
      <c r="V201" s="306">
        <f t="shared" ca="1" si="90"/>
        <v>1.2059883946625058</v>
      </c>
      <c r="W201" s="304">
        <f t="shared" ca="1" si="91"/>
        <v>71.456593054642411</v>
      </c>
      <c r="Y201" s="314" t="str">
        <f t="shared" ca="1" si="109"/>
        <v/>
      </c>
      <c r="Z201" s="315" t="str">
        <f t="shared" ca="1" si="110"/>
        <v/>
      </c>
      <c r="AA201" s="316" t="str">
        <f t="shared" ca="1" si="111"/>
        <v/>
      </c>
      <c r="AC201" s="310" t="e">
        <f t="shared" ca="1" si="112"/>
        <v>#N/A</v>
      </c>
      <c r="AD201" s="323" t="e">
        <f t="shared" ca="1" si="113"/>
        <v>#N/A</v>
      </c>
      <c r="AE201" s="324">
        <f t="shared" ca="1" si="92"/>
        <v>156.41049853825726</v>
      </c>
      <c r="AG201" s="306">
        <f t="shared" ca="1" si="114"/>
        <v>56.960682044458395</v>
      </c>
      <c r="AH201" s="304">
        <f t="shared" ca="1" si="115"/>
        <v>66.713791917502121</v>
      </c>
    </row>
    <row r="202" spans="1:34" x14ac:dyDescent="0.2">
      <c r="A202" s="347">
        <f t="shared" ca="1" si="93"/>
        <v>0.01</v>
      </c>
      <c r="B202" s="304">
        <f t="shared" ca="1" si="94"/>
        <v>1.9800000000000015</v>
      </c>
      <c r="D202" s="306">
        <f t="shared" ca="1" si="95"/>
        <v>7.1542691141997832</v>
      </c>
      <c r="E202" s="307">
        <f t="shared" ca="1" si="96"/>
        <v>56.287470305349558</v>
      </c>
      <c r="F202" s="304">
        <f t="shared" ca="1" si="97"/>
        <v>56.74031089035379</v>
      </c>
      <c r="G202" s="306">
        <f t="shared" ca="1" si="98"/>
        <v>16.181462139145339</v>
      </c>
      <c r="H202" s="307">
        <f t="shared" ca="1" si="99"/>
        <v>149.40056941913716</v>
      </c>
      <c r="I202" s="304">
        <f t="shared" ca="1" si="100"/>
        <v>150.27431536933719</v>
      </c>
      <c r="J202" s="306">
        <f t="shared" ca="1" si="101"/>
        <v>16.119318698314373</v>
      </c>
      <c r="K202" s="307">
        <f t="shared" ca="1" si="102"/>
        <v>157.90168985893337</v>
      </c>
      <c r="L202" s="304">
        <f t="shared" ca="1" si="87"/>
        <v>158.72232387287116</v>
      </c>
      <c r="M202" s="306">
        <f t="shared" ca="1" si="103"/>
        <v>1.4629076518262021</v>
      </c>
      <c r="N202" s="304">
        <f t="shared" ca="1" si="104"/>
        <v>83.818434267035073</v>
      </c>
      <c r="P202" s="310">
        <f t="shared" ca="1" si="105"/>
        <v>5</v>
      </c>
      <c r="Q202" s="304">
        <f t="shared" ca="1" si="106"/>
        <v>589.64999999999975</v>
      </c>
      <c r="R202" s="306">
        <f t="shared" ca="1" si="107"/>
        <v>0.29591786219192839</v>
      </c>
      <c r="S202" s="307">
        <f t="shared" ca="1" si="108"/>
        <v>7.794313011557688</v>
      </c>
      <c r="T202" s="304">
        <f t="shared" ca="1" si="88"/>
        <v>76.462210643380928</v>
      </c>
      <c r="U202" s="311">
        <f t="shared" ca="1" si="89"/>
        <v>0</v>
      </c>
      <c r="V202" s="306">
        <f t="shared" ca="1" si="90"/>
        <v>1.2058085610245335</v>
      </c>
      <c r="W202" s="304">
        <f t="shared" ca="1" si="91"/>
        <v>71.988443343899448</v>
      </c>
      <c r="Y202" s="314" t="str">
        <f t="shared" ca="1" si="109"/>
        <v/>
      </c>
      <c r="Z202" s="315" t="str">
        <f t="shared" ca="1" si="110"/>
        <v/>
      </c>
      <c r="AA202" s="316" t="str">
        <f t="shared" ca="1" si="111"/>
        <v/>
      </c>
      <c r="AC202" s="310" t="e">
        <f t="shared" ca="1" si="112"/>
        <v>#N/A</v>
      </c>
      <c r="AD202" s="323" t="e">
        <f t="shared" ca="1" si="113"/>
        <v>#N/A</v>
      </c>
      <c r="AE202" s="324">
        <f t="shared" ca="1" si="92"/>
        <v>157.90168985893337</v>
      </c>
      <c r="AG202" s="306">
        <f t="shared" ca="1" si="114"/>
        <v>56.73048987569841</v>
      </c>
      <c r="AH202" s="304">
        <f t="shared" ca="1" si="115"/>
        <v>66.4835253827966</v>
      </c>
    </row>
    <row r="203" spans="1:34" x14ac:dyDescent="0.2">
      <c r="A203" s="347">
        <f t="shared" ca="1" si="93"/>
        <v>0.01</v>
      </c>
      <c r="B203" s="304">
        <f t="shared" ca="1" si="94"/>
        <v>1.9900000000000015</v>
      </c>
      <c r="D203" s="306">
        <f t="shared" ca="1" si="95"/>
        <v>7.1340964607214561</v>
      </c>
      <c r="E203" s="307">
        <f t="shared" ca="1" si="96"/>
        <v>56.057847068307751</v>
      </c>
      <c r="F203" s="304">
        <f t="shared" ca="1" si="97"/>
        <v>56.509977439781892</v>
      </c>
      <c r="G203" s="306">
        <f t="shared" ca="1" si="98"/>
        <v>16.252803103752552</v>
      </c>
      <c r="H203" s="307">
        <f t="shared" ca="1" si="99"/>
        <v>149.96114788982024</v>
      </c>
      <c r="I203" s="304">
        <f t="shared" ca="1" si="100"/>
        <v>150.83931677504339</v>
      </c>
      <c r="J203" s="306">
        <f t="shared" ca="1" si="101"/>
        <v>16.281490024528864</v>
      </c>
      <c r="K203" s="307">
        <f t="shared" ca="1" si="102"/>
        <v>159.39849844547814</v>
      </c>
      <c r="L203" s="304">
        <f t="shared" ca="1" si="87"/>
        <v>160.22786344482014</v>
      </c>
      <c r="M203" s="306">
        <f t="shared" ca="1" si="103"/>
        <v>1.462837621289536</v>
      </c>
      <c r="N203" s="304">
        <f t="shared" ca="1" si="104"/>
        <v>83.814421812847073</v>
      </c>
      <c r="P203" s="310">
        <f t="shared" ca="1" si="105"/>
        <v>5</v>
      </c>
      <c r="Q203" s="304">
        <f t="shared" ca="1" si="106"/>
        <v>588.18999999999971</v>
      </c>
      <c r="R203" s="306">
        <f t="shared" ca="1" si="107"/>
        <v>0.29518515621584052</v>
      </c>
      <c r="S203" s="307">
        <f t="shared" ca="1" si="108"/>
        <v>7.7913611599955299</v>
      </c>
      <c r="T203" s="304">
        <f t="shared" ca="1" si="88"/>
        <v>76.433252979556158</v>
      </c>
      <c r="U203" s="311">
        <f t="shared" ca="1" si="89"/>
        <v>0</v>
      </c>
      <c r="V203" s="306">
        <f t="shared" ca="1" si="90"/>
        <v>1.2056280767146139</v>
      </c>
      <c r="W203" s="304">
        <f t="shared" ca="1" si="91"/>
        <v>72.519928970618338</v>
      </c>
      <c r="Y203" s="314" t="str">
        <f t="shared" ca="1" si="109"/>
        <v/>
      </c>
      <c r="Z203" s="315" t="str">
        <f t="shared" ca="1" si="110"/>
        <v/>
      </c>
      <c r="AA203" s="316" t="str">
        <f t="shared" ca="1" si="111"/>
        <v/>
      </c>
      <c r="AC203" s="310" t="e">
        <f t="shared" ca="1" si="112"/>
        <v>#N/A</v>
      </c>
      <c r="AD203" s="323" t="e">
        <f t="shared" ca="1" si="113"/>
        <v>#N/A</v>
      </c>
      <c r="AE203" s="324">
        <f t="shared" ca="1" si="92"/>
        <v>159.39849844547814</v>
      </c>
      <c r="AG203" s="306">
        <f t="shared" ca="1" si="114"/>
        <v>56.500103582735818</v>
      </c>
      <c r="AH203" s="304">
        <f t="shared" ca="1" si="115"/>
        <v>66.253064908159956</v>
      </c>
    </row>
    <row r="204" spans="1:34" x14ac:dyDescent="0.2">
      <c r="A204" s="347">
        <f t="shared" ca="1" si="93"/>
        <v>0.01</v>
      </c>
      <c r="B204" s="304">
        <f t="shared" ca="1" si="94"/>
        <v>2.0000000000000013</v>
      </c>
      <c r="D204" s="306">
        <f t="shared" ca="1" si="95"/>
        <v>7.1138568209949566</v>
      </c>
      <c r="E204" s="307">
        <f t="shared" ca="1" si="96"/>
        <v>55.828039665534391</v>
      </c>
      <c r="F204" s="304">
        <f t="shared" ca="1" si="97"/>
        <v>56.279454259668313</v>
      </c>
      <c r="G204" s="306">
        <f t="shared" ca="1" si="98"/>
        <v>16.323941671962501</v>
      </c>
      <c r="H204" s="307">
        <f t="shared" ca="1" si="99"/>
        <v>150.51942828647557</v>
      </c>
      <c r="I204" s="304">
        <f t="shared" ca="1" si="100"/>
        <v>151.40201241528166</v>
      </c>
      <c r="J204" s="306">
        <f t="shared" ca="1" si="101"/>
        <v>16.44437374840744</v>
      </c>
      <c r="K204" s="307">
        <f t="shared" ca="1" si="102"/>
        <v>160.90090132635962</v>
      </c>
      <c r="L204" s="304">
        <f t="shared" ca="1" si="87"/>
        <v>161.73904128444755</v>
      </c>
      <c r="M204" s="306">
        <f t="shared" ca="1" si="103"/>
        <v>1.4627678059141611</v>
      </c>
      <c r="N204" s="304">
        <f t="shared" ca="1" si="104"/>
        <v>83.810421686492973</v>
      </c>
      <c r="P204" s="310">
        <f t="shared" ca="1" si="105"/>
        <v>5</v>
      </c>
      <c r="Q204" s="304">
        <f t="shared" ca="1" si="106"/>
        <v>586.72999999999979</v>
      </c>
      <c r="R204" s="306">
        <f t="shared" ca="1" si="107"/>
        <v>0.29445245023975269</v>
      </c>
      <c r="S204" s="307">
        <f t="shared" ca="1" si="108"/>
        <v>7.7884166354931326</v>
      </c>
      <c r="T204" s="304">
        <f t="shared" ca="1" si="88"/>
        <v>76.404367194187628</v>
      </c>
      <c r="U204" s="311">
        <f t="shared" ca="1" si="89"/>
        <v>0</v>
      </c>
      <c r="V204" s="306">
        <f t="shared" ca="1" si="90"/>
        <v>1.2054469447978069</v>
      </c>
      <c r="W204" s="304">
        <f t="shared" ca="1" si="91"/>
        <v>73.05102259128401</v>
      </c>
      <c r="Y204" s="314" t="str">
        <f t="shared" ca="1" si="109"/>
        <v/>
      </c>
      <c r="Z204" s="315" t="str">
        <f t="shared" ca="1" si="110"/>
        <v/>
      </c>
      <c r="AA204" s="316" t="str">
        <f t="shared" ca="1" si="111"/>
        <v/>
      </c>
      <c r="AC204" s="310">
        <f t="shared" ca="1" si="112"/>
        <v>2.0000000000000013</v>
      </c>
      <c r="AD204" s="323">
        <f t="shared" ca="1" si="113"/>
        <v>16.44437374840744</v>
      </c>
      <c r="AE204" s="324">
        <f t="shared" ca="1" si="92"/>
        <v>160.90090132635962</v>
      </c>
      <c r="AG204" s="306">
        <f t="shared" ca="1" si="114"/>
        <v>56.269527125743181</v>
      </c>
      <c r="AH204" s="304">
        <f t="shared" ca="1" si="115"/>
        <v>66.022414451486725</v>
      </c>
    </row>
    <row r="205" spans="1:34" x14ac:dyDescent="0.2">
      <c r="A205" s="347">
        <f t="shared" ca="1" si="93"/>
        <v>0.01</v>
      </c>
      <c r="B205" s="304">
        <f t="shared" ca="1" si="94"/>
        <v>2.0100000000000011</v>
      </c>
      <c r="D205" s="306">
        <f t="shared" ca="1" si="95"/>
        <v>7.0935508980454083</v>
      </c>
      <c r="E205" s="307">
        <f t="shared" ca="1" si="96"/>
        <v>55.598051998169552</v>
      </c>
      <c r="F205" s="304">
        <f t="shared" ca="1" si="97"/>
        <v>56.048745305620592</v>
      </c>
      <c r="G205" s="306">
        <f t="shared" ca="1" si="98"/>
        <v>16.394877180942956</v>
      </c>
      <c r="H205" s="307">
        <f t="shared" ca="1" si="99"/>
        <v>151.07540880645726</v>
      </c>
      <c r="I205" s="304">
        <f t="shared" ca="1" si="100"/>
        <v>151.96240042792292</v>
      </c>
      <c r="J205" s="306">
        <f t="shared" ca="1" si="101"/>
        <v>16.607967842671968</v>
      </c>
      <c r="K205" s="307">
        <f t="shared" ca="1" si="102"/>
        <v>162.40887551182428</v>
      </c>
      <c r="L205" s="304">
        <f t="shared" ca="1" si="87"/>
        <v>163.25583432416269</v>
      </c>
      <c r="M205" s="306">
        <f t="shared" ca="1" si="103"/>
        <v>1.4626982031881672</v>
      </c>
      <c r="N205" s="304">
        <f t="shared" ca="1" si="104"/>
        <v>83.806433744050921</v>
      </c>
      <c r="P205" s="310">
        <f t="shared" ca="1" si="105"/>
        <v>6</v>
      </c>
      <c r="Q205" s="304">
        <f t="shared" ca="1" si="106"/>
        <v>585.26999999999987</v>
      </c>
      <c r="R205" s="306">
        <f t="shared" ca="1" si="107"/>
        <v>0.29371974426366482</v>
      </c>
      <c r="S205" s="307">
        <f t="shared" ca="1" si="108"/>
        <v>7.7854794380504959</v>
      </c>
      <c r="T205" s="304">
        <f t="shared" ca="1" si="88"/>
        <v>76.375553287275366</v>
      </c>
      <c r="U205" s="311">
        <f t="shared" ca="1" si="89"/>
        <v>0</v>
      </c>
      <c r="V205" s="306">
        <f t="shared" ca="1" si="90"/>
        <v>1.2052651683407116</v>
      </c>
      <c r="W205" s="304">
        <f t="shared" ca="1" si="91"/>
        <v>73.581696997200282</v>
      </c>
      <c r="Y205" s="314" t="str">
        <f t="shared" ca="1" si="109"/>
        <v/>
      </c>
      <c r="Z205" s="315" t="str">
        <f t="shared" ca="1" si="110"/>
        <v/>
      </c>
      <c r="AA205" s="316" t="str">
        <f t="shared" ca="1" si="111"/>
        <v/>
      </c>
      <c r="AC205" s="310" t="e">
        <f t="shared" ca="1" si="112"/>
        <v>#N/A</v>
      </c>
      <c r="AD205" s="323" t="e">
        <f t="shared" ca="1" si="113"/>
        <v>#N/A</v>
      </c>
      <c r="AE205" s="324">
        <f t="shared" ca="1" si="92"/>
        <v>162.40887551182428</v>
      </c>
      <c r="AG205" s="306">
        <f t="shared" ca="1" si="114"/>
        <v>56.038764454736189</v>
      </c>
      <c r="AH205" s="304">
        <f t="shared" ca="1" si="115"/>
        <v>65.791577960544558</v>
      </c>
    </row>
    <row r="206" spans="1:34" x14ac:dyDescent="0.2">
      <c r="A206" s="347">
        <f t="shared" ca="1" si="93"/>
        <v>0.01</v>
      </c>
      <c r="B206" s="304">
        <f t="shared" ca="1" si="94"/>
        <v>2.0200000000000009</v>
      </c>
      <c r="D206" s="306">
        <f t="shared" ca="1" si="95"/>
        <v>7.0731793904553362</v>
      </c>
      <c r="E206" s="307">
        <f t="shared" ca="1" si="96"/>
        <v>55.36788795737651</v>
      </c>
      <c r="F206" s="304">
        <f t="shared" ca="1" si="97"/>
        <v>55.817854522994352</v>
      </c>
      <c r="G206" s="306">
        <f t="shared" ca="1" si="98"/>
        <v>16.465608974847509</v>
      </c>
      <c r="H206" s="307">
        <f t="shared" ca="1" si="99"/>
        <v>151.62908768603103</v>
      </c>
      <c r="I206" s="304">
        <f t="shared" ca="1" si="100"/>
        <v>152.52047899023484</v>
      </c>
      <c r="J206" s="306">
        <f t="shared" ca="1" si="101"/>
        <v>16.772270273450921</v>
      </c>
      <c r="K206" s="307">
        <f t="shared" ca="1" si="102"/>
        <v>163.92239799428671</v>
      </c>
      <c r="L206" s="304">
        <f t="shared" ca="1" si="87"/>
        <v>164.77821947794865</v>
      </c>
      <c r="M206" s="306">
        <f t="shared" ca="1" si="103"/>
        <v>1.4626288106345453</v>
      </c>
      <c r="N206" s="304">
        <f t="shared" ca="1" si="104"/>
        <v>83.802457843598745</v>
      </c>
      <c r="P206" s="310">
        <f t="shared" ca="1" si="105"/>
        <v>6</v>
      </c>
      <c r="Q206" s="304">
        <f t="shared" ca="1" si="106"/>
        <v>583.80999999999983</v>
      </c>
      <c r="R206" s="306">
        <f t="shared" ca="1" si="107"/>
        <v>0.29298703828757694</v>
      </c>
      <c r="S206" s="307">
        <f t="shared" ca="1" si="108"/>
        <v>7.78254956766762</v>
      </c>
      <c r="T206" s="304">
        <f t="shared" ca="1" si="88"/>
        <v>76.346811258819358</v>
      </c>
      <c r="U206" s="311">
        <f t="shared" ca="1" si="89"/>
        <v>0</v>
      </c>
      <c r="V206" s="306">
        <f t="shared" ca="1" si="90"/>
        <v>1.2050827504114008</v>
      </c>
      <c r="W206" s="304">
        <f t="shared" ca="1" si="91"/>
        <v>74.111925115423446</v>
      </c>
      <c r="Y206" s="314" t="str">
        <f t="shared" ca="1" si="109"/>
        <v/>
      </c>
      <c r="Z206" s="315" t="str">
        <f t="shared" ca="1" si="110"/>
        <v/>
      </c>
      <c r="AA206" s="316" t="str">
        <f t="shared" ca="1" si="111"/>
        <v/>
      </c>
      <c r="AC206" s="310" t="e">
        <f t="shared" ca="1" si="112"/>
        <v>#N/A</v>
      </c>
      <c r="AD206" s="323" t="e">
        <f t="shared" ca="1" si="113"/>
        <v>#N/A</v>
      </c>
      <c r="AE206" s="324">
        <f t="shared" ca="1" si="92"/>
        <v>163.92239799428671</v>
      </c>
      <c r="AG206" s="306">
        <f t="shared" ca="1" si="114"/>
        <v>55.807819509395912</v>
      </c>
      <c r="AH206" s="304">
        <f t="shared" ca="1" si="115"/>
        <v>65.560559372795836</v>
      </c>
    </row>
    <row r="207" spans="1:34" x14ac:dyDescent="0.2">
      <c r="A207" s="347">
        <f t="shared" ca="1" si="93"/>
        <v>0.01</v>
      </c>
      <c r="B207" s="304">
        <f t="shared" ca="1" si="94"/>
        <v>2.0300000000000007</v>
      </c>
      <c r="D207" s="306">
        <f t="shared" ca="1" si="95"/>
        <v>7.0527429924156255</v>
      </c>
      <c r="E207" s="307">
        <f t="shared" ca="1" si="96"/>
        <v>55.137551424160662</v>
      </c>
      <c r="F207" s="304">
        <f t="shared" ca="1" si="97"/>
        <v>55.586785846719266</v>
      </c>
      <c r="G207" s="306">
        <f t="shared" ca="1" si="98"/>
        <v>16.536136404771664</v>
      </c>
      <c r="H207" s="307">
        <f t="shared" ca="1" si="99"/>
        <v>152.18046320027264</v>
      </c>
      <c r="I207" s="304">
        <f t="shared" ca="1" si="100"/>
        <v>153.07624631877655</v>
      </c>
      <c r="J207" s="306">
        <f t="shared" ca="1" si="101"/>
        <v>16.937279000349019</v>
      </c>
      <c r="K207" s="307">
        <f t="shared" ca="1" si="102"/>
        <v>165.44144574871822</v>
      </c>
      <c r="L207" s="304">
        <f t="shared" ca="1" si="87"/>
        <v>166.30617364175552</v>
      </c>
      <c r="M207" s="306">
        <f t="shared" ca="1" si="103"/>
        <v>1.462559625810504</v>
      </c>
      <c r="N207" s="304">
        <f t="shared" ca="1" si="104"/>
        <v>83.798493845174818</v>
      </c>
      <c r="P207" s="310">
        <f t="shared" ca="1" si="105"/>
        <v>6</v>
      </c>
      <c r="Q207" s="304">
        <f t="shared" ca="1" si="106"/>
        <v>582.34999999999991</v>
      </c>
      <c r="R207" s="306">
        <f t="shared" ca="1" si="107"/>
        <v>0.29225433231148912</v>
      </c>
      <c r="S207" s="307">
        <f t="shared" ca="1" si="108"/>
        <v>7.7796270243445047</v>
      </c>
      <c r="T207" s="304">
        <f t="shared" ca="1" si="88"/>
        <v>76.318141108819589</v>
      </c>
      <c r="U207" s="311">
        <f t="shared" ca="1" si="89"/>
        <v>0</v>
      </c>
      <c r="V207" s="306">
        <f t="shared" ca="1" si="90"/>
        <v>1.2048996940793573</v>
      </c>
      <c r="W207" s="304">
        <f t="shared" ca="1" si="91"/>
        <v>74.641680009680243</v>
      </c>
      <c r="Y207" s="314" t="str">
        <f t="shared" ca="1" si="109"/>
        <v/>
      </c>
      <c r="Z207" s="315" t="str">
        <f t="shared" ca="1" si="110"/>
        <v/>
      </c>
      <c r="AA207" s="316" t="str">
        <f t="shared" ca="1" si="111"/>
        <v/>
      </c>
      <c r="AC207" s="310" t="e">
        <f t="shared" ca="1" si="112"/>
        <v>#N/A</v>
      </c>
      <c r="AD207" s="323" t="e">
        <f t="shared" ca="1" si="113"/>
        <v>#N/A</v>
      </c>
      <c r="AE207" s="324">
        <f t="shared" ca="1" si="92"/>
        <v>165.44144574871822</v>
      </c>
      <c r="AG207" s="306">
        <f t="shared" ca="1" si="114"/>
        <v>55.57669621889287</v>
      </c>
      <c r="AH207" s="304">
        <f t="shared" ca="1" si="115"/>
        <v>65.3293626152212</v>
      </c>
    </row>
    <row r="208" spans="1:34" x14ac:dyDescent="0.2">
      <c r="A208" s="347">
        <f t="shared" ca="1" si="93"/>
        <v>0.01</v>
      </c>
      <c r="B208" s="304">
        <f t="shared" ca="1" si="94"/>
        <v>2.0400000000000005</v>
      </c>
      <c r="D208" s="306">
        <f t="shared" ca="1" si="95"/>
        <v>7.0322423937748182</v>
      </c>
      <c r="E208" s="307">
        <f t="shared" ca="1" si="96"/>
        <v>54.907046269190062</v>
      </c>
      <c r="F208" s="304">
        <f t="shared" ca="1" si="97"/>
        <v>55.355543201126501</v>
      </c>
      <c r="G208" s="306">
        <f t="shared" ca="1" si="98"/>
        <v>16.606458828709414</v>
      </c>
      <c r="H208" s="307">
        <f t="shared" ca="1" si="99"/>
        <v>152.72953366296454</v>
      </c>
      <c r="I208" s="304">
        <f t="shared" ca="1" si="100"/>
        <v>153.62970066929194</v>
      </c>
      <c r="J208" s="306">
        <f t="shared" ca="1" si="101"/>
        <v>17.102991976516424</v>
      </c>
      <c r="K208" s="307">
        <f t="shared" ca="1" si="102"/>
        <v>166.96599573303442</v>
      </c>
      <c r="L208" s="304">
        <f t="shared" ca="1" si="87"/>
        <v>167.83967369389291</v>
      </c>
      <c r="M208" s="306">
        <f t="shared" ca="1" si="103"/>
        <v>1.4624906463068013</v>
      </c>
      <c r="N208" s="304">
        <f t="shared" ca="1" si="104"/>
        <v>83.794541610739742</v>
      </c>
      <c r="P208" s="310">
        <f t="shared" ca="1" si="105"/>
        <v>6</v>
      </c>
      <c r="Q208" s="304">
        <f t="shared" ca="1" si="106"/>
        <v>580.88999999999987</v>
      </c>
      <c r="R208" s="306">
        <f t="shared" ca="1" si="107"/>
        <v>0.29152162633540124</v>
      </c>
      <c r="S208" s="307">
        <f t="shared" ca="1" si="108"/>
        <v>7.776711808081151</v>
      </c>
      <c r="T208" s="304">
        <f t="shared" ca="1" si="88"/>
        <v>76.289542837276102</v>
      </c>
      <c r="U208" s="311">
        <f t="shared" ca="1" si="89"/>
        <v>0</v>
      </c>
      <c r="V208" s="306">
        <f t="shared" ca="1" si="90"/>
        <v>1.2047160024154113</v>
      </c>
      <c r="W208" s="304">
        <f t="shared" ca="1" si="91"/>
        <v>75.170934881270625</v>
      </c>
      <c r="Y208" s="314" t="str">
        <f t="shared" ca="1" si="109"/>
        <v/>
      </c>
      <c r="Z208" s="315" t="str">
        <f t="shared" ca="1" si="110"/>
        <v/>
      </c>
      <c r="AA208" s="316" t="str">
        <f t="shared" ca="1" si="111"/>
        <v/>
      </c>
      <c r="AC208" s="310" t="e">
        <f t="shared" ca="1" si="112"/>
        <v>#N/A</v>
      </c>
      <c r="AD208" s="323" t="e">
        <f t="shared" ca="1" si="113"/>
        <v>#N/A</v>
      </c>
      <c r="AE208" s="324">
        <f t="shared" ca="1" si="92"/>
        <v>166.96599573303442</v>
      </c>
      <c r="AG208" s="306">
        <f t="shared" ca="1" si="114"/>
        <v>55.345398501712729</v>
      </c>
      <c r="AH208" s="304">
        <f t="shared" ca="1" si="115"/>
        <v>65.097991604144681</v>
      </c>
    </row>
    <row r="209" spans="1:34" x14ac:dyDescent="0.2">
      <c r="A209" s="347">
        <f t="shared" ca="1" si="93"/>
        <v>0.01</v>
      </c>
      <c r="B209" s="304">
        <f t="shared" ca="1" si="94"/>
        <v>2.0500000000000003</v>
      </c>
      <c r="D209" s="306">
        <f t="shared" ca="1" si="95"/>
        <v>7.0116782800869233</v>
      </c>
      <c r="E209" s="307">
        <f t="shared" ca="1" si="96"/>
        <v>54.676376352618064</v>
      </c>
      <c r="F209" s="304">
        <f t="shared" ca="1" si="97"/>
        <v>55.124130499778175</v>
      </c>
      <c r="G209" s="306">
        <f t="shared" ca="1" si="98"/>
        <v>16.676575611510284</v>
      </c>
      <c r="H209" s="307">
        <f t="shared" ca="1" si="99"/>
        <v>153.27629742649071</v>
      </c>
      <c r="I209" s="304">
        <f t="shared" ca="1" si="100"/>
        <v>154.18084033660105</v>
      </c>
      <c r="J209" s="306">
        <f t="shared" ca="1" si="101"/>
        <v>17.269407148717523</v>
      </c>
      <c r="K209" s="307">
        <f t="shared" ca="1" si="102"/>
        <v>168.49602488848168</v>
      </c>
      <c r="L209" s="304">
        <f t="shared" ca="1" si="87"/>
        <v>169.37869649542122</v>
      </c>
      <c r="M209" s="306">
        <f t="shared" ca="1" si="103"/>
        <v>1.4624218697470934</v>
      </c>
      <c r="N209" s="304">
        <f t="shared" ca="1" si="104"/>
        <v>83.790601004139063</v>
      </c>
      <c r="P209" s="310">
        <f t="shared" ca="1" si="105"/>
        <v>6</v>
      </c>
      <c r="Q209" s="304">
        <f t="shared" ca="1" si="106"/>
        <v>579.42999999999995</v>
      </c>
      <c r="R209" s="306">
        <f t="shared" ca="1" si="107"/>
        <v>0.29078892035931336</v>
      </c>
      <c r="S209" s="307">
        <f t="shared" ca="1" si="108"/>
        <v>7.7738039188775581</v>
      </c>
      <c r="T209" s="304">
        <f t="shared" ca="1" si="88"/>
        <v>76.261016444188854</v>
      </c>
      <c r="U209" s="311">
        <f t="shared" ca="1" si="89"/>
        <v>0</v>
      </c>
      <c r="V209" s="306">
        <f t="shared" ca="1" si="90"/>
        <v>1.2045316784916755</v>
      </c>
      <c r="W209" s="304">
        <f t="shared" ca="1" si="91"/>
        <v>75.699663069954468</v>
      </c>
      <c r="Y209" s="314" t="str">
        <f t="shared" ca="1" si="109"/>
        <v/>
      </c>
      <c r="Z209" s="315" t="str">
        <f t="shared" ca="1" si="110"/>
        <v/>
      </c>
      <c r="AA209" s="316" t="str">
        <f t="shared" ca="1" si="111"/>
        <v/>
      </c>
      <c r="AC209" s="310" t="e">
        <f t="shared" ca="1" si="112"/>
        <v>#N/A</v>
      </c>
      <c r="AD209" s="323" t="e">
        <f t="shared" ca="1" si="113"/>
        <v>#N/A</v>
      </c>
      <c r="AE209" s="324">
        <f t="shared" ca="1" si="92"/>
        <v>168.49602488848168</v>
      </c>
      <c r="AG209" s="306">
        <f t="shared" ca="1" si="114"/>
        <v>55.113930265483887</v>
      </c>
      <c r="AH209" s="304">
        <f t="shared" ca="1" si="115"/>
        <v>64.866450245060747</v>
      </c>
    </row>
    <row r="210" spans="1:34" x14ac:dyDescent="0.2">
      <c r="A210" s="347">
        <f t="shared" ca="1" si="93"/>
        <v>0.01</v>
      </c>
      <c r="B210" s="304">
        <f t="shared" ca="1" si="94"/>
        <v>2.06</v>
      </c>
      <c r="D210" s="306">
        <f t="shared" ca="1" si="95"/>
        <v>6.9910513326575776</v>
      </c>
      <c r="E210" s="307">
        <f t="shared" ca="1" si="96"/>
        <v>54.445545523907626</v>
      </c>
      <c r="F210" s="304">
        <f t="shared" ca="1" si="97"/>
        <v>54.89255164529839</v>
      </c>
      <c r="G210" s="306">
        <f t="shared" ca="1" si="98"/>
        <v>16.74648612483686</v>
      </c>
      <c r="H210" s="307">
        <f t="shared" ca="1" si="99"/>
        <v>153.82075288172979</v>
      </c>
      <c r="I210" s="304">
        <f t="shared" ca="1" si="100"/>
        <v>154.7296636544898</v>
      </c>
      <c r="J210" s="306">
        <f t="shared" ca="1" si="101"/>
        <v>17.43652245739926</v>
      </c>
      <c r="K210" s="307">
        <f t="shared" ca="1" si="102"/>
        <v>170.03151014002279</v>
      </c>
      <c r="L210" s="304">
        <f t="shared" ca="1" si="87"/>
        <v>170.92321889054179</v>
      </c>
      <c r="M210" s="306">
        <f t="shared" ca="1" si="103"/>
        <v>1.4623532937872987</v>
      </c>
      <c r="N210" s="304">
        <f t="shared" ca="1" si="104"/>
        <v>83.78667189106676</v>
      </c>
      <c r="P210" s="310">
        <f t="shared" ca="1" si="105"/>
        <v>6</v>
      </c>
      <c r="Q210" s="304">
        <f t="shared" ca="1" si="106"/>
        <v>577.97</v>
      </c>
      <c r="R210" s="306">
        <f t="shared" ca="1" si="107"/>
        <v>0.29005621438322554</v>
      </c>
      <c r="S210" s="307">
        <f t="shared" ca="1" si="108"/>
        <v>7.7709033567337258</v>
      </c>
      <c r="T210" s="304">
        <f t="shared" ca="1" si="88"/>
        <v>76.23256192955786</v>
      </c>
      <c r="U210" s="311">
        <f t="shared" ca="1" si="89"/>
        <v>0</v>
      </c>
      <c r="V210" s="306">
        <f t="shared" ca="1" si="90"/>
        <v>1.2043467253814835</v>
      </c>
      <c r="W210" s="304">
        <f t="shared" ca="1" si="91"/>
        <v>76.227838054822982</v>
      </c>
      <c r="Y210" s="314" t="str">
        <f t="shared" ca="1" si="109"/>
        <v/>
      </c>
      <c r="Z210" s="315" t="str">
        <f t="shared" ca="1" si="110"/>
        <v/>
      </c>
      <c r="AA210" s="316" t="str">
        <f t="shared" ca="1" si="111"/>
        <v/>
      </c>
      <c r="AC210" s="310" t="e">
        <f t="shared" ca="1" si="112"/>
        <v>#N/A</v>
      </c>
      <c r="AD210" s="323" t="e">
        <f t="shared" ca="1" si="113"/>
        <v>#N/A</v>
      </c>
      <c r="AE210" s="324">
        <f t="shared" ca="1" si="92"/>
        <v>170.03151014002279</v>
      </c>
      <c r="AG210" s="306">
        <f t="shared" ca="1" si="114"/>
        <v>54.882295406806584</v>
      </c>
      <c r="AH210" s="304">
        <f t="shared" ca="1" si="115"/>
        <v>64.634742432462886</v>
      </c>
    </row>
    <row r="211" spans="1:34" x14ac:dyDescent="0.2">
      <c r="A211" s="347">
        <f t="shared" ca="1" si="93"/>
        <v>0.01</v>
      </c>
      <c r="B211" s="304">
        <f t="shared" ca="1" si="94"/>
        <v>2.0699999999999998</v>
      </c>
      <c r="D211" s="306">
        <f t="shared" ca="1" si="95"/>
        <v>6.9703622285888578</v>
      </c>
      <c r="E211" s="307">
        <f t="shared" ca="1" si="96"/>
        <v>54.214557621657733</v>
      </c>
      <c r="F211" s="304">
        <f t="shared" ca="1" si="97"/>
        <v>54.660810529206252</v>
      </c>
      <c r="G211" s="306">
        <f t="shared" ca="1" si="98"/>
        <v>16.816189747122749</v>
      </c>
      <c r="H211" s="307">
        <f t="shared" ca="1" si="99"/>
        <v>154.36289845794636</v>
      </c>
      <c r="I211" s="304">
        <f t="shared" ca="1" si="100"/>
        <v>155.27616899559794</v>
      </c>
      <c r="J211" s="306">
        <f t="shared" ca="1" si="101"/>
        <v>17.604335836759059</v>
      </c>
      <c r="K211" s="307">
        <f t="shared" ca="1" si="102"/>
        <v>171.57242839672116</v>
      </c>
      <c r="L211" s="304">
        <f t="shared" ca="1" si="87"/>
        <v>172.47321770698608</v>
      </c>
      <c r="M211" s="306">
        <f t="shared" ca="1" si="103"/>
        <v>1.4622849161149769</v>
      </c>
      <c r="N211" s="304">
        <f t="shared" ca="1" si="104"/>
        <v>83.782754139029791</v>
      </c>
      <c r="P211" s="310">
        <f t="shared" ca="1" si="105"/>
        <v>6</v>
      </c>
      <c r="Q211" s="304">
        <f t="shared" ca="1" si="106"/>
        <v>576.51</v>
      </c>
      <c r="R211" s="306">
        <f t="shared" ca="1" si="107"/>
        <v>0.28932350840713766</v>
      </c>
      <c r="S211" s="307">
        <f t="shared" ca="1" si="108"/>
        <v>7.7680101216496542</v>
      </c>
      <c r="T211" s="304">
        <f t="shared" ca="1" si="88"/>
        <v>76.204179293383106</v>
      </c>
      <c r="U211" s="311">
        <f t="shared" ca="1" si="89"/>
        <v>0</v>
      </c>
      <c r="V211" s="306">
        <f t="shared" ca="1" si="90"/>
        <v>1.2041611461593242</v>
      </c>
      <c r="W211" s="304">
        <f t="shared" ca="1" si="91"/>
        <v>76.75543345515409</v>
      </c>
      <c r="Y211" s="314" t="str">
        <f t="shared" ca="1" si="109"/>
        <v/>
      </c>
      <c r="Z211" s="315" t="str">
        <f t="shared" ca="1" si="110"/>
        <v/>
      </c>
      <c r="AA211" s="316" t="str">
        <f t="shared" ca="1" si="111"/>
        <v/>
      </c>
      <c r="AC211" s="310" t="e">
        <f t="shared" ca="1" si="112"/>
        <v>#N/A</v>
      </c>
      <c r="AD211" s="323" t="e">
        <f t="shared" ca="1" si="113"/>
        <v>#N/A</v>
      </c>
      <c r="AE211" s="324">
        <f t="shared" ca="1" si="92"/>
        <v>171.57242839672116</v>
      </c>
      <c r="AG211" s="306">
        <f t="shared" ca="1" si="114"/>
        <v>54.650497811084051</v>
      </c>
      <c r="AH211" s="304">
        <f t="shared" ca="1" si="115"/>
        <v>64.40287204967423</v>
      </c>
    </row>
    <row r="212" spans="1:34" x14ac:dyDescent="0.2">
      <c r="A212" s="347">
        <f t="shared" ca="1" si="93"/>
        <v>0.01</v>
      </c>
      <c r="B212" s="304">
        <f t="shared" ca="1" si="94"/>
        <v>2.0799999999999996</v>
      </c>
      <c r="D212" s="306">
        <f t="shared" ca="1" si="95"/>
        <v>6.9496116408225674</v>
      </c>
      <c r="E212" s="307">
        <f t="shared" ca="1" si="96"/>
        <v>53.983416473431788</v>
      </c>
      <c r="F212" s="304">
        <f t="shared" ca="1" si="97"/>
        <v>54.428911031750793</v>
      </c>
      <c r="G212" s="306">
        <f t="shared" ca="1" si="98"/>
        <v>16.885685863530973</v>
      </c>
      <c r="H212" s="307">
        <f t="shared" ca="1" si="99"/>
        <v>154.90273262268067</v>
      </c>
      <c r="I212" s="304">
        <f t="shared" ca="1" si="100"/>
        <v>155.82035477130563</v>
      </c>
      <c r="J212" s="306">
        <f t="shared" ca="1" si="101"/>
        <v>17.772845214812328</v>
      </c>
      <c r="K212" s="307">
        <f t="shared" ca="1" si="102"/>
        <v>173.1187565521243</v>
      </c>
      <c r="L212" s="304">
        <f t="shared" ca="1" si="87"/>
        <v>174.0286697564035</v>
      </c>
      <c r="M212" s="306">
        <f t="shared" ca="1" si="103"/>
        <v>1.4622167344487229</v>
      </c>
      <c r="N212" s="304">
        <f t="shared" ca="1" si="104"/>
        <v>83.778847617313275</v>
      </c>
      <c r="P212" s="310">
        <f t="shared" ca="1" si="105"/>
        <v>6</v>
      </c>
      <c r="Q212" s="304">
        <f t="shared" ca="1" si="106"/>
        <v>575.05000000000007</v>
      </c>
      <c r="R212" s="306">
        <f t="shared" ca="1" si="107"/>
        <v>0.28859080243104984</v>
      </c>
      <c r="S212" s="307">
        <f t="shared" ca="1" si="108"/>
        <v>7.7651242136253433</v>
      </c>
      <c r="T212" s="304">
        <f t="shared" ca="1" si="88"/>
        <v>76.17586853566462</v>
      </c>
      <c r="U212" s="311">
        <f t="shared" ca="1" si="89"/>
        <v>0</v>
      </c>
      <c r="V212" s="306">
        <f t="shared" ca="1" si="90"/>
        <v>1.2039749439007814</v>
      </c>
      <c r="W212" s="304">
        <f t="shared" ca="1" si="91"/>
        <v>77.282423031252918</v>
      </c>
      <c r="Y212" s="314" t="str">
        <f t="shared" ca="1" si="109"/>
        <v/>
      </c>
      <c r="Z212" s="315" t="str">
        <f t="shared" ca="1" si="110"/>
        <v/>
      </c>
      <c r="AA212" s="316" t="str">
        <f t="shared" ca="1" si="111"/>
        <v/>
      </c>
      <c r="AC212" s="310" t="e">
        <f t="shared" ca="1" si="112"/>
        <v>#N/A</v>
      </c>
      <c r="AD212" s="323" t="e">
        <f t="shared" ca="1" si="113"/>
        <v>#N/A</v>
      </c>
      <c r="AE212" s="324">
        <f t="shared" ca="1" si="92"/>
        <v>173.1187565521243</v>
      </c>
      <c r="AG212" s="306">
        <f t="shared" ca="1" si="114"/>
        <v>54.418541352355355</v>
      </c>
      <c r="AH212" s="304">
        <f t="shared" ca="1" si="115"/>
        <v>64.170842968679906</v>
      </c>
    </row>
    <row r="213" spans="1:34" x14ac:dyDescent="0.2">
      <c r="A213" s="347">
        <f t="shared" ca="1" si="93"/>
        <v>0.01</v>
      </c>
      <c r="B213" s="304">
        <f t="shared" ca="1" si="94"/>
        <v>2.0899999999999994</v>
      </c>
      <c r="D213" s="306">
        <f t="shared" ca="1" si="95"/>
        <v>6.9288002381821743</v>
      </c>
      <c r="E213" s="307">
        <f t="shared" ca="1" si="96"/>
        <v>53.752125895587561</v>
      </c>
      <c r="F213" s="304">
        <f t="shared" ca="1" si="97"/>
        <v>54.196857021747384</v>
      </c>
      <c r="G213" s="306">
        <f t="shared" ca="1" si="98"/>
        <v>16.954973865912795</v>
      </c>
      <c r="H213" s="307">
        <f t="shared" ca="1" si="99"/>
        <v>155.44025388163655</v>
      </c>
      <c r="I213" s="304">
        <f t="shared" ca="1" si="100"/>
        <v>156.36221943161786</v>
      </c>
      <c r="J213" s="306">
        <f t="shared" ca="1" si="101"/>
        <v>17.942048513459547</v>
      </c>
      <c r="K213" s="307">
        <f t="shared" ca="1" si="102"/>
        <v>174.67047148464587</v>
      </c>
      <c r="L213" s="304">
        <f t="shared" ca="1" si="87"/>
        <v>175.58955183474848</v>
      </c>
      <c r="M213" s="306">
        <f t="shared" ca="1" si="103"/>
        <v>1.4621487465375751</v>
      </c>
      <c r="N213" s="304">
        <f t="shared" ca="1" si="104"/>
        <v>83.774952196946586</v>
      </c>
      <c r="P213" s="310">
        <f t="shared" ca="1" si="105"/>
        <v>6</v>
      </c>
      <c r="Q213" s="304">
        <f t="shared" ca="1" si="106"/>
        <v>573.59</v>
      </c>
      <c r="R213" s="306">
        <f t="shared" ca="1" si="107"/>
        <v>0.28785809645496191</v>
      </c>
      <c r="S213" s="307">
        <f t="shared" ca="1" si="108"/>
        <v>7.762245632660794</v>
      </c>
      <c r="T213" s="304">
        <f t="shared" ca="1" si="88"/>
        <v>76.147629656402387</v>
      </c>
      <c r="U213" s="311">
        <f t="shared" ca="1" si="89"/>
        <v>0</v>
      </c>
      <c r="V213" s="306">
        <f t="shared" ca="1" si="90"/>
        <v>1.2037881216824708</v>
      </c>
      <c r="W213" s="304">
        <f t="shared" ca="1" si="91"/>
        <v>77.808780685275963</v>
      </c>
      <c r="Y213" s="314" t="str">
        <f t="shared" ca="1" si="109"/>
        <v/>
      </c>
      <c r="Z213" s="315" t="str">
        <f t="shared" ca="1" si="110"/>
        <v/>
      </c>
      <c r="AA213" s="316" t="str">
        <f t="shared" ca="1" si="111"/>
        <v/>
      </c>
      <c r="AC213" s="310" t="e">
        <f t="shared" ca="1" si="112"/>
        <v>#N/A</v>
      </c>
      <c r="AD213" s="323" t="e">
        <f t="shared" ca="1" si="113"/>
        <v>#N/A</v>
      </c>
      <c r="AE213" s="324">
        <f t="shared" ca="1" si="92"/>
        <v>174.67047148464587</v>
      </c>
      <c r="AG213" s="306">
        <f t="shared" ca="1" si="114"/>
        <v>54.186429893129848</v>
      </c>
      <c r="AH213" s="304">
        <f t="shared" ca="1" si="115"/>
        <v>63.938659049960975</v>
      </c>
    </row>
    <row r="214" spans="1:34" x14ac:dyDescent="0.2">
      <c r="A214" s="347">
        <f t="shared" ca="1" si="93"/>
        <v>0.01</v>
      </c>
      <c r="B214" s="304">
        <f t="shared" ca="1" si="94"/>
        <v>2.0999999999999992</v>
      </c>
      <c r="D214" s="306">
        <f t="shared" ca="1" si="95"/>
        <v>6.9079286854134319</v>
      </c>
      <c r="E214" s="307">
        <f t="shared" ca="1" si="96"/>
        <v>53.520689693109446</v>
      </c>
      <c r="F214" s="304">
        <f t="shared" ca="1" si="97"/>
        <v>53.964652356416323</v>
      </c>
      <c r="G214" s="306">
        <f t="shared" ca="1" si="98"/>
        <v>17.024053152766928</v>
      </c>
      <c r="H214" s="307">
        <f t="shared" ca="1" si="99"/>
        <v>155.97546077856765</v>
      </c>
      <c r="I214" s="304">
        <f t="shared" ca="1" si="100"/>
        <v>156.90176146504771</v>
      </c>
      <c r="J214" s="306">
        <f t="shared" ca="1" si="101"/>
        <v>18.111943648552945</v>
      </c>
      <c r="K214" s="307">
        <f t="shared" ca="1" si="102"/>
        <v>176.2275500579469</v>
      </c>
      <c r="L214" s="304">
        <f t="shared" ca="1" si="87"/>
        <v>177.1558407226658</v>
      </c>
      <c r="M214" s="306">
        <f t="shared" ca="1" si="103"/>
        <v>1.4620809501604373</v>
      </c>
      <c r="N214" s="304">
        <f t="shared" ca="1" si="104"/>
        <v>83.771067750670312</v>
      </c>
      <c r="P214" s="310">
        <f t="shared" ca="1" si="105"/>
        <v>6</v>
      </c>
      <c r="Q214" s="304">
        <f t="shared" ca="1" si="106"/>
        <v>572.13000000000011</v>
      </c>
      <c r="R214" s="306">
        <f t="shared" ca="1" si="107"/>
        <v>0.28712539047887409</v>
      </c>
      <c r="S214" s="307">
        <f t="shared" ca="1" si="108"/>
        <v>7.7593743787560054</v>
      </c>
      <c r="T214" s="304">
        <f t="shared" ca="1" si="88"/>
        <v>76.119462655596422</v>
      </c>
      <c r="U214" s="311">
        <f t="shared" ca="1" si="89"/>
        <v>0</v>
      </c>
      <c r="V214" s="306">
        <f t="shared" ca="1" si="90"/>
        <v>1.2036006825819763</v>
      </c>
      <c r="W214" s="304">
        <f t="shared" ca="1" si="91"/>
        <v>78.334480462040105</v>
      </c>
      <c r="Y214" s="314" t="str">
        <f t="shared" ca="1" si="109"/>
        <v/>
      </c>
      <c r="Z214" s="315" t="str">
        <f t="shared" ca="1" si="110"/>
        <v/>
      </c>
      <c r="AA214" s="316" t="str">
        <f t="shared" ca="1" si="111"/>
        <v/>
      </c>
      <c r="AC214" s="310" t="e">
        <f t="shared" ca="1" si="112"/>
        <v>#N/A</v>
      </c>
      <c r="AD214" s="323" t="e">
        <f t="shared" ca="1" si="113"/>
        <v>#N/A</v>
      </c>
      <c r="AE214" s="324">
        <f t="shared" ca="1" si="92"/>
        <v>176.2275500579469</v>
      </c>
      <c r="AG214" s="306">
        <f t="shared" ca="1" si="114"/>
        <v>53.954167284223651</v>
      </c>
      <c r="AH214" s="304">
        <f t="shared" ca="1" si="115"/>
        <v>63.706324142330466</v>
      </c>
    </row>
    <row r="215" spans="1:34" x14ac:dyDescent="0.2">
      <c r="A215" s="347">
        <f t="shared" ca="1" si="93"/>
        <v>0.01</v>
      </c>
      <c r="B215" s="304">
        <f t="shared" ca="1" si="94"/>
        <v>2.109999999999999</v>
      </c>
      <c r="D215" s="306">
        <f t="shared" ca="1" si="95"/>
        <v>6.8869976432236806</v>
      </c>
      <c r="E215" s="307">
        <f t="shared" ca="1" si="96"/>
        <v>53.289111659442412</v>
      </c>
      <c r="F215" s="304">
        <f t="shared" ca="1" si="97"/>
        <v>53.732300881223111</v>
      </c>
      <c r="G215" s="306">
        <f t="shared" ca="1" si="98"/>
        <v>17.092923129199164</v>
      </c>
      <c r="H215" s="307">
        <f t="shared" ca="1" si="99"/>
        <v>156.50835189516206</v>
      </c>
      <c r="I215" s="304">
        <f t="shared" ca="1" si="100"/>
        <v>157.43897939849774</v>
      </c>
      <c r="J215" s="306">
        <f t="shared" ca="1" si="101"/>
        <v>18.282528529962775</v>
      </c>
      <c r="K215" s="307">
        <f t="shared" ca="1" si="102"/>
        <v>177.78996912131555</v>
      </c>
      <c r="L215" s="304">
        <f t="shared" ca="1" si="87"/>
        <v>178.72751318587532</v>
      </c>
      <c r="M215" s="306">
        <f t="shared" ca="1" si="103"/>
        <v>1.4620133431255142</v>
      </c>
      <c r="N215" s="304">
        <f t="shared" ca="1" si="104"/>
        <v>83.767194152903841</v>
      </c>
      <c r="P215" s="310">
        <f t="shared" ca="1" si="105"/>
        <v>6</v>
      </c>
      <c r="Q215" s="304">
        <f t="shared" ca="1" si="106"/>
        <v>570.67000000000019</v>
      </c>
      <c r="R215" s="306">
        <f t="shared" ca="1" si="107"/>
        <v>0.28639268450278627</v>
      </c>
      <c r="S215" s="307">
        <f t="shared" ca="1" si="108"/>
        <v>7.7565104519109775</v>
      </c>
      <c r="T215" s="304">
        <f t="shared" ca="1" si="88"/>
        <v>76.091367533246697</v>
      </c>
      <c r="U215" s="311">
        <f t="shared" ca="1" si="89"/>
        <v>0</v>
      </c>
      <c r="V215" s="306">
        <f t="shared" ca="1" si="90"/>
        <v>1.2034126296777887</v>
      </c>
      <c r="W215" s="304">
        <f t="shared" ca="1" si="91"/>
        <v>78.8594965498161</v>
      </c>
      <c r="Y215" s="314" t="str">
        <f t="shared" ca="1" si="109"/>
        <v/>
      </c>
      <c r="Z215" s="315" t="str">
        <f t="shared" ca="1" si="110"/>
        <v/>
      </c>
      <c r="AA215" s="316" t="str">
        <f t="shared" ca="1" si="111"/>
        <v/>
      </c>
      <c r="AC215" s="310" t="e">
        <f t="shared" ca="1" si="112"/>
        <v>#N/A</v>
      </c>
      <c r="AD215" s="323" t="e">
        <f t="shared" ca="1" si="113"/>
        <v>#N/A</v>
      </c>
      <c r="AE215" s="324">
        <f t="shared" ca="1" si="92"/>
        <v>177.78996912131555</v>
      </c>
      <c r="AG215" s="306">
        <f t="shared" ca="1" si="114"/>
        <v>53.721757364597792</v>
      </c>
      <c r="AH215" s="304">
        <f t="shared" ca="1" si="115"/>
        <v>63.473842082770993</v>
      </c>
    </row>
    <row r="216" spans="1:34" x14ac:dyDescent="0.2">
      <c r="A216" s="347">
        <f t="shared" ca="1" si="93"/>
        <v>0.01</v>
      </c>
      <c r="B216" s="304">
        <f t="shared" ca="1" si="94"/>
        <v>2.1199999999999988</v>
      </c>
      <c r="D216" s="306">
        <f t="shared" ca="1" si="95"/>
        <v>6.8660077683199141</v>
      </c>
      <c r="E216" s="307">
        <f t="shared" ca="1" si="96"/>
        <v>53.057395576327913</v>
      </c>
      <c r="F216" s="304">
        <f t="shared" ca="1" si="97"/>
        <v>53.499806429720564</v>
      </c>
      <c r="G216" s="306">
        <f t="shared" ca="1" si="98"/>
        <v>17.161583206882362</v>
      </c>
      <c r="H216" s="307">
        <f t="shared" ca="1" si="99"/>
        <v>157.03892585092535</v>
      </c>
      <c r="I216" s="304">
        <f t="shared" ca="1" si="100"/>
        <v>157.97387179713985</v>
      </c>
      <c r="J216" s="306">
        <f t="shared" ca="1" si="101"/>
        <v>18.453801061643183</v>
      </c>
      <c r="K216" s="307">
        <f t="shared" ca="1" si="102"/>
        <v>179.35770551004597</v>
      </c>
      <c r="L216" s="304">
        <f t="shared" ca="1" si="87"/>
        <v>180.30454597555516</v>
      </c>
      <c r="M216" s="306">
        <f t="shared" ca="1" si="103"/>
        <v>1.4619459232697609</v>
      </c>
      <c r="N216" s="304">
        <f t="shared" ca="1" si="104"/>
        <v>83.763331279713796</v>
      </c>
      <c r="P216" s="310">
        <f t="shared" ca="1" si="105"/>
        <v>6</v>
      </c>
      <c r="Q216" s="304">
        <f t="shared" ca="1" si="106"/>
        <v>569.21000000000015</v>
      </c>
      <c r="R216" s="306">
        <f t="shared" ca="1" si="107"/>
        <v>0.28565997852669833</v>
      </c>
      <c r="S216" s="307">
        <f t="shared" ca="1" si="108"/>
        <v>7.7536538521257103</v>
      </c>
      <c r="T216" s="304">
        <f t="shared" ca="1" si="88"/>
        <v>76.063344289353225</v>
      </c>
      <c r="U216" s="311">
        <f t="shared" ca="1" si="89"/>
        <v>0</v>
      </c>
      <c r="V216" s="306">
        <f t="shared" ca="1" si="90"/>
        <v>1.203223966049245</v>
      </c>
      <c r="W216" s="304">
        <f t="shared" ca="1" si="91"/>
        <v>79.383803281106367</v>
      </c>
      <c r="Y216" s="314" t="str">
        <f t="shared" ca="1" si="109"/>
        <v/>
      </c>
      <c r="Z216" s="315" t="str">
        <f t="shared" ca="1" si="110"/>
        <v/>
      </c>
      <c r="AA216" s="316" t="str">
        <f t="shared" ca="1" si="111"/>
        <v/>
      </c>
      <c r="AC216" s="310" t="e">
        <f t="shared" ca="1" si="112"/>
        <v>#N/A</v>
      </c>
      <c r="AD216" s="323" t="e">
        <f t="shared" ca="1" si="113"/>
        <v>#N/A</v>
      </c>
      <c r="AE216" s="324">
        <f t="shared" ca="1" si="92"/>
        <v>179.35770551004597</v>
      </c>
      <c r="AG216" s="306">
        <f t="shared" ca="1" si="114"/>
        <v>53.489203961198164</v>
      </c>
      <c r="AH216" s="304">
        <f t="shared" ca="1" si="115"/>
        <v>63.241216696274307</v>
      </c>
    </row>
    <row r="217" spans="1:34" x14ac:dyDescent="0.2">
      <c r="A217" s="347">
        <f t="shared" ca="1" si="93"/>
        <v>0.01</v>
      </c>
      <c r="B217" s="304">
        <f t="shared" ca="1" si="94"/>
        <v>2.1299999999999986</v>
      </c>
      <c r="D217" s="306">
        <f t="shared" ca="1" si="95"/>
        <v>6.8449597134456059</v>
      </c>
      <c r="E217" s="307">
        <f t="shared" ca="1" si="96"/>
        <v>52.82554521364181</v>
      </c>
      <c r="F217" s="304">
        <f t="shared" ca="1" si="97"/>
        <v>53.267172823392919</v>
      </c>
      <c r="G217" s="306">
        <f t="shared" ca="1" si="98"/>
        <v>17.230032804016819</v>
      </c>
      <c r="H217" s="307">
        <f t="shared" ca="1" si="99"/>
        <v>157.56718130306177</v>
      </c>
      <c r="I217" s="304">
        <f t="shared" ca="1" si="100"/>
        <v>158.50643726429357</v>
      </c>
      <c r="J217" s="306">
        <f t="shared" ca="1" si="101"/>
        <v>18.625759141697678</v>
      </c>
      <c r="K217" s="307">
        <f t="shared" ca="1" si="102"/>
        <v>180.93073604581591</v>
      </c>
      <c r="L217" s="304">
        <f t="shared" ca="1" si="87"/>
        <v>181.88691582872374</v>
      </c>
      <c r="M217" s="306">
        <f t="shared" ca="1" si="103"/>
        <v>1.4618786884583426</v>
      </c>
      <c r="N217" s="304">
        <f t="shared" ca="1" si="104"/>
        <v>83.75947900878316</v>
      </c>
      <c r="P217" s="310">
        <f t="shared" ca="1" si="105"/>
        <v>6</v>
      </c>
      <c r="Q217" s="304">
        <f t="shared" ca="1" si="106"/>
        <v>567.75000000000023</v>
      </c>
      <c r="R217" s="306">
        <f t="shared" ca="1" si="107"/>
        <v>0.28492727255061051</v>
      </c>
      <c r="S217" s="307">
        <f t="shared" ca="1" si="108"/>
        <v>7.7508045794002038</v>
      </c>
      <c r="T217" s="304">
        <f t="shared" ca="1" si="88"/>
        <v>76.035392923916007</v>
      </c>
      <c r="U217" s="311">
        <f t="shared" ca="1" si="89"/>
        <v>0</v>
      </c>
      <c r="V217" s="306">
        <f t="shared" ca="1" si="90"/>
        <v>1.2030346947764661</v>
      </c>
      <c r="W217" s="304">
        <f t="shared" ca="1" si="91"/>
        <v>79.907375133407442</v>
      </c>
      <c r="Y217" s="314" t="str">
        <f t="shared" ca="1" si="109"/>
        <v/>
      </c>
      <c r="Z217" s="315" t="str">
        <f t="shared" ca="1" si="110"/>
        <v/>
      </c>
      <c r="AA217" s="316" t="str">
        <f t="shared" ca="1" si="111"/>
        <v/>
      </c>
      <c r="AC217" s="310" t="e">
        <f t="shared" ca="1" si="112"/>
        <v>#N/A</v>
      </c>
      <c r="AD217" s="323" t="e">
        <f t="shared" ca="1" si="113"/>
        <v>#N/A</v>
      </c>
      <c r="AE217" s="324">
        <f t="shared" ca="1" si="92"/>
        <v>180.93073604581591</v>
      </c>
      <c r="AG217" s="306">
        <f t="shared" ca="1" si="114"/>
        <v>53.256510888797351</v>
      </c>
      <c r="AH217" s="304">
        <f t="shared" ca="1" si="115"/>
        <v>63.008451795682625</v>
      </c>
    </row>
    <row r="218" spans="1:34" x14ac:dyDescent="0.2">
      <c r="A218" s="347">
        <f t="shared" ca="1" si="93"/>
        <v>0.01</v>
      </c>
      <c r="B218" s="304">
        <f t="shared" ca="1" si="94"/>
        <v>2.1399999999999983</v>
      </c>
      <c r="D218" s="306">
        <f t="shared" ca="1" si="95"/>
        <v>6.8238541274164621</v>
      </c>
      <c r="E218" s="307">
        <f t="shared" ca="1" si="96"/>
        <v>52.59356432923402</v>
      </c>
      <c r="F218" s="304">
        <f t="shared" ca="1" si="97"/>
        <v>53.034403871501524</v>
      </c>
      <c r="G218" s="306">
        <f t="shared" ca="1" si="98"/>
        <v>17.298271345290985</v>
      </c>
      <c r="H218" s="307">
        <f t="shared" ca="1" si="99"/>
        <v>158.09311694635412</v>
      </c>
      <c r="I218" s="304">
        <f t="shared" ca="1" si="100"/>
        <v>159.03667444130275</v>
      </c>
      <c r="J218" s="306">
        <f t="shared" ca="1" si="101"/>
        <v>18.798400662444216</v>
      </c>
      <c r="K218" s="307">
        <f t="shared" ca="1" si="102"/>
        <v>182.50903753706299</v>
      </c>
      <c r="L218" s="304">
        <f t="shared" ca="1" si="87"/>
        <v>183.47459946862085</v>
      </c>
      <c r="M218" s="306">
        <f t="shared" ca="1" si="103"/>
        <v>1.4618116365841101</v>
      </c>
      <c r="N218" s="304">
        <f t="shared" ca="1" si="104"/>
        <v>83.7556372193812</v>
      </c>
      <c r="P218" s="310">
        <f t="shared" ca="1" si="105"/>
        <v>6</v>
      </c>
      <c r="Q218" s="304">
        <f t="shared" ca="1" si="106"/>
        <v>566.29000000000019</v>
      </c>
      <c r="R218" s="306">
        <f t="shared" ca="1" si="107"/>
        <v>0.28419456657452263</v>
      </c>
      <c r="S218" s="307">
        <f t="shared" ca="1" si="108"/>
        <v>7.7479626337344589</v>
      </c>
      <c r="T218" s="304">
        <f t="shared" ca="1" si="88"/>
        <v>76.007513436935042</v>
      </c>
      <c r="U218" s="311">
        <f t="shared" ca="1" si="89"/>
        <v>0</v>
      </c>
      <c r="V218" s="306">
        <f t="shared" ca="1" si="90"/>
        <v>1.2028448189402932</v>
      </c>
      <c r="W218" s="304">
        <f t="shared" ca="1" si="91"/>
        <v>80.430186729956702</v>
      </c>
      <c r="Y218" s="314" t="str">
        <f t="shared" ca="1" si="109"/>
        <v/>
      </c>
      <c r="Z218" s="315" t="str">
        <f t="shared" ca="1" si="110"/>
        <v/>
      </c>
      <c r="AA218" s="316" t="str">
        <f t="shared" ca="1" si="111"/>
        <v/>
      </c>
      <c r="AC218" s="310" t="e">
        <f t="shared" ca="1" si="112"/>
        <v>#N/A</v>
      </c>
      <c r="AD218" s="323" t="e">
        <f t="shared" ca="1" si="113"/>
        <v>#N/A</v>
      </c>
      <c r="AE218" s="324">
        <f t="shared" ca="1" si="92"/>
        <v>182.50903753706299</v>
      </c>
      <c r="AG218" s="306">
        <f t="shared" ca="1" si="114"/>
        <v>53.023681949838114</v>
      </c>
      <c r="AH218" s="304">
        <f t="shared" ca="1" si="115"/>
        <v>62.775551181531711</v>
      </c>
    </row>
    <row r="219" spans="1:34" x14ac:dyDescent="0.2">
      <c r="A219" s="347">
        <f t="shared" ca="1" si="93"/>
        <v>0.01</v>
      </c>
      <c r="B219" s="304">
        <f t="shared" ca="1" si="94"/>
        <v>2.1499999999999981</v>
      </c>
      <c r="D219" s="306">
        <f t="shared" ca="1" si="95"/>
        <v>6.8026916551549004</v>
      </c>
      <c r="E219" s="307">
        <f t="shared" ca="1" si="96"/>
        <v>52.36145666877038</v>
      </c>
      <c r="F219" s="304">
        <f t="shared" ca="1" si="97"/>
        <v>52.801503370932842</v>
      </c>
      <c r="G219" s="306">
        <f t="shared" ca="1" si="98"/>
        <v>17.366298261842534</v>
      </c>
      <c r="H219" s="307">
        <f t="shared" ca="1" si="99"/>
        <v>158.61673151304183</v>
      </c>
      <c r="I219" s="304">
        <f t="shared" ca="1" si="100"/>
        <v>159.56458200741062</v>
      </c>
      <c r="J219" s="306">
        <f t="shared" ca="1" si="101"/>
        <v>18.971723510479883</v>
      </c>
      <c r="K219" s="307">
        <f t="shared" ca="1" si="102"/>
        <v>184.09258677935998</v>
      </c>
      <c r="L219" s="304">
        <f t="shared" ca="1" si="87"/>
        <v>185.06757360508695</v>
      </c>
      <c r="M219" s="306">
        <f t="shared" ca="1" si="103"/>
        <v>1.4617447655670845</v>
      </c>
      <c r="N219" s="304">
        <f t="shared" ca="1" si="104"/>
        <v>83.751805792333883</v>
      </c>
      <c r="P219" s="310">
        <f t="shared" ca="1" si="105"/>
        <v>6</v>
      </c>
      <c r="Q219" s="304">
        <f t="shared" ca="1" si="106"/>
        <v>564.83000000000027</v>
      </c>
      <c r="R219" s="306">
        <f t="shared" ca="1" si="107"/>
        <v>0.28346186059843481</v>
      </c>
      <c r="S219" s="307">
        <f t="shared" ca="1" si="108"/>
        <v>7.7451280151284747</v>
      </c>
      <c r="T219" s="304">
        <f t="shared" ca="1" si="88"/>
        <v>75.979705828410346</v>
      </c>
      <c r="U219" s="311">
        <f t="shared" ca="1" si="89"/>
        <v>0</v>
      </c>
      <c r="V219" s="306">
        <f t="shared" ca="1" si="90"/>
        <v>1.2026543416222313</v>
      </c>
      <c r="W219" s="304">
        <f t="shared" ca="1" si="91"/>
        <v>80.952212840463915</v>
      </c>
      <c r="Y219" s="314" t="str">
        <f t="shared" ca="1" si="109"/>
        <v/>
      </c>
      <c r="Z219" s="315" t="str">
        <f t="shared" ca="1" si="110"/>
        <v/>
      </c>
      <c r="AA219" s="316" t="str">
        <f t="shared" ca="1" si="111"/>
        <v/>
      </c>
      <c r="AC219" s="310" t="e">
        <f t="shared" ca="1" si="112"/>
        <v>#N/A</v>
      </c>
      <c r="AD219" s="323" t="e">
        <f t="shared" ca="1" si="113"/>
        <v>#N/A</v>
      </c>
      <c r="AE219" s="324">
        <f t="shared" ca="1" si="92"/>
        <v>184.09258677935998</v>
      </c>
      <c r="AG219" s="306">
        <f t="shared" ca="1" si="114"/>
        <v>52.790720934278951</v>
      </c>
      <c r="AH219" s="304">
        <f t="shared" ca="1" si="115"/>
        <v>62.542518641895995</v>
      </c>
    </row>
    <row r="220" spans="1:34" x14ac:dyDescent="0.2">
      <c r="A220" s="347">
        <f t="shared" ca="1" si="93"/>
        <v>0.01</v>
      </c>
      <c r="B220" s="304">
        <f t="shared" ca="1" si="94"/>
        <v>2.1599999999999979</v>
      </c>
      <c r="D220" s="306">
        <f t="shared" ca="1" si="95"/>
        <v>6.7814729377235672</v>
      </c>
      <c r="E220" s="307">
        <f t="shared" ca="1" si="96"/>
        <v>52.129225965576168</v>
      </c>
      <c r="F220" s="304">
        <f t="shared" ca="1" si="97"/>
        <v>52.568475106047906</v>
      </c>
      <c r="G220" s="306">
        <f t="shared" ca="1" si="98"/>
        <v>17.43411299121977</v>
      </c>
      <c r="H220" s="307">
        <f t="shared" ca="1" si="99"/>
        <v>159.13802377269758</v>
      </c>
      <c r="I220" s="304">
        <f t="shared" ca="1" si="100"/>
        <v>160.09015867963365</v>
      </c>
      <c r="J220" s="306">
        <f t="shared" ca="1" si="101"/>
        <v>19.145725566745195</v>
      </c>
      <c r="K220" s="307">
        <f t="shared" ca="1" si="102"/>
        <v>185.68136055578867</v>
      </c>
      <c r="L220" s="304">
        <f t="shared" ca="1" si="87"/>
        <v>186.66581493494172</v>
      </c>
      <c r="M220" s="306">
        <f t="shared" ca="1" si="103"/>
        <v>1.4616780733539558</v>
      </c>
      <c r="N220" s="304">
        <f t="shared" ca="1" si="104"/>
        <v>83.747984609995228</v>
      </c>
      <c r="P220" s="310">
        <f t="shared" ca="1" si="105"/>
        <v>6</v>
      </c>
      <c r="Q220" s="304">
        <f t="shared" ca="1" si="106"/>
        <v>563.37000000000035</v>
      </c>
      <c r="R220" s="306">
        <f t="shared" ca="1" si="107"/>
        <v>0.28272915462234693</v>
      </c>
      <c r="S220" s="307">
        <f t="shared" ca="1" si="108"/>
        <v>7.7423007235822512</v>
      </c>
      <c r="T220" s="304">
        <f t="shared" ca="1" si="88"/>
        <v>75.951970098341889</v>
      </c>
      <c r="U220" s="311">
        <f t="shared" ca="1" si="89"/>
        <v>0</v>
      </c>
      <c r="V220" s="306">
        <f t="shared" ca="1" si="90"/>
        <v>1.2024632659043839</v>
      </c>
      <c r="W220" s="304">
        <f t="shared" ca="1" si="91"/>
        <v>81.473428381827247</v>
      </c>
      <c r="Y220" s="314" t="str">
        <f t="shared" ca="1" si="109"/>
        <v/>
      </c>
      <c r="Z220" s="315" t="str">
        <f t="shared" ca="1" si="110"/>
        <v/>
      </c>
      <c r="AA220" s="316" t="str">
        <f t="shared" ca="1" si="111"/>
        <v/>
      </c>
      <c r="AC220" s="310" t="e">
        <f t="shared" ca="1" si="112"/>
        <v>#N/A</v>
      </c>
      <c r="AD220" s="323" t="e">
        <f t="shared" ca="1" si="113"/>
        <v>#N/A</v>
      </c>
      <c r="AE220" s="324">
        <f t="shared" ca="1" si="92"/>
        <v>185.68136055578867</v>
      </c>
      <c r="AG220" s="306">
        <f t="shared" ca="1" si="114"/>
        <v>52.557631619441203</v>
      </c>
      <c r="AH220" s="304">
        <f t="shared" ca="1" si="115"/>
        <v>62.309357952235246</v>
      </c>
    </row>
    <row r="221" spans="1:34" x14ac:dyDescent="0.2">
      <c r="A221" s="347">
        <f t="shared" ca="1" si="93"/>
        <v>0.01</v>
      </c>
      <c r="B221" s="304">
        <f t="shared" ca="1" si="94"/>
        <v>2.1699999999999977</v>
      </c>
      <c r="D221" s="306">
        <f t="shared" ca="1" si="95"/>
        <v>6.7601986123577031</v>
      </c>
      <c r="E221" s="307">
        <f t="shared" ca="1" si="96"/>
        <v>51.896875940481593</v>
      </c>
      <c r="F221" s="304">
        <f t="shared" ca="1" si="97"/>
        <v>52.335322848533764</v>
      </c>
      <c r="G221" s="306">
        <f t="shared" ca="1" si="98"/>
        <v>17.501714977343347</v>
      </c>
      <c r="H221" s="307">
        <f t="shared" ca="1" si="99"/>
        <v>159.65699253210241</v>
      </c>
      <c r="I221" s="304">
        <f t="shared" ca="1" si="100"/>
        <v>160.61340321263344</v>
      </c>
      <c r="J221" s="306">
        <f t="shared" ca="1" si="101"/>
        <v>19.320404706588011</v>
      </c>
      <c r="K221" s="307">
        <f t="shared" ca="1" si="102"/>
        <v>187.27533563731268</v>
      </c>
      <c r="L221" s="304">
        <f t="shared" ca="1" si="87"/>
        <v>188.26930014236115</v>
      </c>
      <c r="M221" s="306">
        <f t="shared" ca="1" si="103"/>
        <v>1.4616115579175906</v>
      </c>
      <c r="N221" s="304">
        <f t="shared" ca="1" si="104"/>
        <v>83.744173556219025</v>
      </c>
      <c r="P221" s="310">
        <f t="shared" ca="1" si="105"/>
        <v>6</v>
      </c>
      <c r="Q221" s="304">
        <f t="shared" ca="1" si="106"/>
        <v>561.91000000000031</v>
      </c>
      <c r="R221" s="306">
        <f t="shared" ca="1" si="107"/>
        <v>0.28199644864625906</v>
      </c>
      <c r="S221" s="307">
        <f t="shared" ca="1" si="108"/>
        <v>7.7394807590957884</v>
      </c>
      <c r="T221" s="304">
        <f t="shared" ca="1" si="88"/>
        <v>75.924306246729685</v>
      </c>
      <c r="U221" s="311">
        <f t="shared" ca="1" si="89"/>
        <v>0</v>
      </c>
      <c r="V221" s="306">
        <f t="shared" ca="1" si="90"/>
        <v>1.2022715948693958</v>
      </c>
      <c r="W221" s="304">
        <f t="shared" ca="1" si="91"/>
        <v>81.993808418833922</v>
      </c>
      <c r="Y221" s="314" t="str">
        <f t="shared" ca="1" si="109"/>
        <v/>
      </c>
      <c r="Z221" s="315" t="str">
        <f t="shared" ca="1" si="110"/>
        <v/>
      </c>
      <c r="AA221" s="316" t="str">
        <f t="shared" ca="1" si="111"/>
        <v/>
      </c>
      <c r="AC221" s="310" t="e">
        <f t="shared" ca="1" si="112"/>
        <v>#N/A</v>
      </c>
      <c r="AD221" s="323" t="e">
        <f t="shared" ca="1" si="113"/>
        <v>#N/A</v>
      </c>
      <c r="AE221" s="324">
        <f t="shared" ca="1" si="92"/>
        <v>187.27533563731268</v>
      </c>
      <c r="AG221" s="306">
        <f t="shared" ca="1" si="114"/>
        <v>52.324417769858123</v>
      </c>
      <c r="AH221" s="304">
        <f t="shared" ca="1" si="115"/>
        <v>62.076072875243241</v>
      </c>
    </row>
    <row r="222" spans="1:34" x14ac:dyDescent="0.2">
      <c r="A222" s="347">
        <f t="shared" ca="1" si="93"/>
        <v>0.01</v>
      </c>
      <c r="B222" s="304">
        <f t="shared" ca="1" si="94"/>
        <v>2.1799999999999975</v>
      </c>
      <c r="D222" s="306">
        <f t="shared" ca="1" si="95"/>
        <v>6.7388693124965737</v>
      </c>
      <c r="E222" s="307">
        <f t="shared" ca="1" si="96"/>
        <v>51.664410301669491</v>
      </c>
      <c r="F222" s="304">
        <f t="shared" ca="1" si="97"/>
        <v>52.102050357257156</v>
      </c>
      <c r="G222" s="306">
        <f t="shared" ca="1" si="98"/>
        <v>17.569103670468312</v>
      </c>
      <c r="H222" s="307">
        <f t="shared" ca="1" si="99"/>
        <v>160.1736366351191</v>
      </c>
      <c r="I222" s="304">
        <f t="shared" ca="1" si="100"/>
        <v>161.13431439858746</v>
      </c>
      <c r="J222" s="306">
        <f t="shared" ca="1" si="101"/>
        <v>19.495758799827069</v>
      </c>
      <c r="K222" s="307">
        <f t="shared" ca="1" si="102"/>
        <v>188.87448878314879</v>
      </c>
      <c r="L222" s="304">
        <f t="shared" ca="1" si="87"/>
        <v>189.8780058992532</v>
      </c>
      <c r="M222" s="306">
        <f t="shared" ca="1" si="103"/>
        <v>1.4615452172565528</v>
      </c>
      <c r="N222" s="304">
        <f t="shared" ca="1" si="104"/>
        <v>83.740372516331448</v>
      </c>
      <c r="P222" s="310">
        <f t="shared" ca="1" si="105"/>
        <v>6</v>
      </c>
      <c r="Q222" s="304">
        <f t="shared" ca="1" si="106"/>
        <v>560.45000000000039</v>
      </c>
      <c r="R222" s="306">
        <f t="shared" ca="1" si="107"/>
        <v>0.28126374267017124</v>
      </c>
      <c r="S222" s="307">
        <f t="shared" ca="1" si="108"/>
        <v>7.7366681216690862</v>
      </c>
      <c r="T222" s="304">
        <f t="shared" ca="1" si="88"/>
        <v>75.896714273573735</v>
      </c>
      <c r="U222" s="311">
        <f t="shared" ca="1" si="89"/>
        <v>0</v>
      </c>
      <c r="V222" s="306">
        <f t="shared" ca="1" si="90"/>
        <v>1.2020793316003915</v>
      </c>
      <c r="W222" s="304">
        <f t="shared" ca="1" si="91"/>
        <v>82.513328164845305</v>
      </c>
      <c r="Y222" s="314" t="str">
        <f t="shared" ca="1" si="109"/>
        <v/>
      </c>
      <c r="Z222" s="315" t="str">
        <f t="shared" ca="1" si="110"/>
        <v/>
      </c>
      <c r="AA222" s="316" t="str">
        <f t="shared" ca="1" si="111"/>
        <v/>
      </c>
      <c r="AC222" s="310" t="e">
        <f t="shared" ca="1" si="112"/>
        <v>#N/A</v>
      </c>
      <c r="AD222" s="323" t="e">
        <f t="shared" ca="1" si="113"/>
        <v>#N/A</v>
      </c>
      <c r="AE222" s="324">
        <f t="shared" ca="1" si="92"/>
        <v>188.87448878314879</v>
      </c>
      <c r="AG222" s="306">
        <f t="shared" ca="1" si="114"/>
        <v>52.091083137125835</v>
      </c>
      <c r="AH222" s="304">
        <f t="shared" ca="1" si="115"/>
        <v>61.842667160698333</v>
      </c>
    </row>
    <row r="223" spans="1:34" x14ac:dyDescent="0.2">
      <c r="A223" s="347">
        <f t="shared" ca="1" si="93"/>
        <v>0.01</v>
      </c>
      <c r="B223" s="304">
        <f t="shared" ca="1" si="94"/>
        <v>2.1899999999999973</v>
      </c>
      <c r="D223" s="306">
        <f t="shared" ca="1" si="95"/>
        <v>6.7174856678138202</v>
      </c>
      <c r="E223" s="307">
        <f t="shared" ca="1" si="96"/>
        <v>51.431832744524485</v>
      </c>
      <c r="F223" s="304">
        <f t="shared" ca="1" si="97"/>
        <v>51.868661378119498</v>
      </c>
      <c r="G223" s="306">
        <f t="shared" ca="1" si="98"/>
        <v>17.636278527146452</v>
      </c>
      <c r="H223" s="307">
        <f t="shared" ca="1" si="99"/>
        <v>160.68795496256433</v>
      </c>
      <c r="I223" s="304">
        <f t="shared" ca="1" si="100"/>
        <v>161.65289106705822</v>
      </c>
      <c r="J223" s="306">
        <f t="shared" ca="1" si="101"/>
        <v>19.671785710815143</v>
      </c>
      <c r="K223" s="307">
        <f t="shared" ca="1" si="102"/>
        <v>190.47879674113722</v>
      </c>
      <c r="L223" s="304">
        <f t="shared" ca="1" si="87"/>
        <v>191.4919088656325</v>
      </c>
      <c r="M223" s="306">
        <f t="shared" ca="1" si="103"/>
        <v>1.4614790493946346</v>
      </c>
      <c r="N223" s="304">
        <f t="shared" ca="1" si="104"/>
        <v>83.73658137710413</v>
      </c>
      <c r="P223" s="310">
        <f t="shared" ca="1" si="105"/>
        <v>6</v>
      </c>
      <c r="Q223" s="304">
        <f t="shared" ca="1" si="106"/>
        <v>558.99000000000035</v>
      </c>
      <c r="R223" s="306">
        <f t="shared" ca="1" si="107"/>
        <v>0.28053103669408336</v>
      </c>
      <c r="S223" s="307">
        <f t="shared" ca="1" si="108"/>
        <v>7.7338628113021457</v>
      </c>
      <c r="T223" s="304">
        <f t="shared" ca="1" si="88"/>
        <v>75.869194178874054</v>
      </c>
      <c r="U223" s="311">
        <f t="shared" ca="1" si="89"/>
        <v>0</v>
      </c>
      <c r="V223" s="306">
        <f t="shared" ca="1" si="90"/>
        <v>1.2018864791809145</v>
      </c>
      <c r="W223" s="304">
        <f t="shared" ca="1" si="91"/>
        <v>83.031962982466979</v>
      </c>
      <c r="Y223" s="314" t="str">
        <f t="shared" ca="1" si="109"/>
        <v/>
      </c>
      <c r="Z223" s="315" t="str">
        <f t="shared" ca="1" si="110"/>
        <v/>
      </c>
      <c r="AA223" s="316" t="str">
        <f t="shared" ca="1" si="111"/>
        <v/>
      </c>
      <c r="AC223" s="310" t="e">
        <f t="shared" ca="1" si="112"/>
        <v>#N/A</v>
      </c>
      <c r="AD223" s="323" t="e">
        <f t="shared" ca="1" si="113"/>
        <v>#N/A</v>
      </c>
      <c r="AE223" s="324">
        <f t="shared" ca="1" si="92"/>
        <v>190.47879674113722</v>
      </c>
      <c r="AG223" s="306">
        <f t="shared" ca="1" si="114"/>
        <v>51.857631459755922</v>
      </c>
      <c r="AH223" s="304">
        <f t="shared" ca="1" si="115"/>
        <v>61.609144545315637</v>
      </c>
    </row>
    <row r="224" spans="1:34" x14ac:dyDescent="0.2">
      <c r="A224" s="347">
        <f t="shared" ca="1" si="93"/>
        <v>0.01</v>
      </c>
      <c r="B224" s="304">
        <f t="shared" ca="1" si="94"/>
        <v>2.1999999999999971</v>
      </c>
      <c r="D224" s="306">
        <f t="shared" ca="1" si="95"/>
        <v>6.6960483042469479</v>
      </c>
      <c r="E224" s="307">
        <f t="shared" ca="1" si="96"/>
        <v>51.199146951484536</v>
      </c>
      <c r="F224" s="304">
        <f t="shared" ca="1" si="97"/>
        <v>51.635159643914307</v>
      </c>
      <c r="G224" s="306">
        <f t="shared" ca="1" si="98"/>
        <v>17.70323901018892</v>
      </c>
      <c r="H224" s="307">
        <f t="shared" ca="1" si="99"/>
        <v>161.19994643207917</v>
      </c>
      <c r="I224" s="304">
        <f t="shared" ca="1" si="100"/>
        <v>162.16913208486093</v>
      </c>
      <c r="J224" s="306">
        <f t="shared" ca="1" si="101"/>
        <v>19.848483298501819</v>
      </c>
      <c r="K224" s="307">
        <f t="shared" ca="1" si="102"/>
        <v>192.08823624811043</v>
      </c>
      <c r="L224" s="304">
        <f t="shared" ca="1" si="87"/>
        <v>193.1109856899933</v>
      </c>
      <c r="M224" s="306">
        <f t="shared" ca="1" si="103"/>
        <v>1.4614130523803972</v>
      </c>
      <c r="N224" s="304">
        <f t="shared" ca="1" si="104"/>
        <v>83.732800026727872</v>
      </c>
      <c r="P224" s="310">
        <f t="shared" ca="1" si="105"/>
        <v>6</v>
      </c>
      <c r="Q224" s="304">
        <f t="shared" ca="1" si="106"/>
        <v>557.53000000000043</v>
      </c>
      <c r="R224" s="306">
        <f t="shared" ca="1" si="107"/>
        <v>0.27979833071799548</v>
      </c>
      <c r="S224" s="307">
        <f t="shared" ca="1" si="108"/>
        <v>7.7310648279949659</v>
      </c>
      <c r="T224" s="304">
        <f t="shared" ca="1" si="88"/>
        <v>75.841745962630625</v>
      </c>
      <c r="U224" s="311">
        <f t="shared" ca="1" si="89"/>
        <v>0</v>
      </c>
      <c r="V224" s="306">
        <f t="shared" ca="1" si="90"/>
        <v>1.201693040694868</v>
      </c>
      <c r="W224" s="304">
        <f t="shared" ca="1" si="91"/>
        <v>83.549688384203193</v>
      </c>
      <c r="Y224" s="314" t="str">
        <f t="shared" ca="1" si="109"/>
        <v/>
      </c>
      <c r="Z224" s="315" t="str">
        <f t="shared" ca="1" si="110"/>
        <v/>
      </c>
      <c r="AA224" s="316" t="str">
        <f t="shared" ca="1" si="111"/>
        <v/>
      </c>
      <c r="AC224" s="310" t="e">
        <f t="shared" ca="1" si="112"/>
        <v>#N/A</v>
      </c>
      <c r="AD224" s="323" t="e">
        <f t="shared" ca="1" si="113"/>
        <v>#N/A</v>
      </c>
      <c r="AE224" s="324">
        <f t="shared" ca="1" si="92"/>
        <v>192.08823624811043</v>
      </c>
      <c r="AG224" s="306">
        <f t="shared" ca="1" si="114"/>
        <v>51.624066463030147</v>
      </c>
      <c r="AH224" s="304">
        <f t="shared" ca="1" si="115"/>
        <v>61.375508752601341</v>
      </c>
    </row>
    <row r="225" spans="1:34" x14ac:dyDescent="0.2">
      <c r="A225" s="347">
        <f t="shared" ca="1" si="93"/>
        <v>0.01</v>
      </c>
      <c r="B225" s="304">
        <f t="shared" ca="1" si="94"/>
        <v>2.2099999999999969</v>
      </c>
      <c r="D225" s="306">
        <f t="shared" ca="1" si="95"/>
        <v>6.6745578440257942</v>
      </c>
      <c r="E225" s="307">
        <f t="shared" ca="1" si="96"/>
        <v>50.966356591894119</v>
      </c>
      <c r="F225" s="304">
        <f t="shared" ca="1" si="97"/>
        <v>51.401548874186233</v>
      </c>
      <c r="G225" s="306">
        <f t="shared" ca="1" si="98"/>
        <v>17.769984588629178</v>
      </c>
      <c r="H225" s="307">
        <f t="shared" ca="1" si="99"/>
        <v>161.70960999799811</v>
      </c>
      <c r="I225" s="304">
        <f t="shared" ca="1" si="100"/>
        <v>162.68303635592977</v>
      </c>
      <c r="J225" s="306">
        <f t="shared" ca="1" si="101"/>
        <v>20.025849416495909</v>
      </c>
      <c r="K225" s="307">
        <f t="shared" ca="1" si="102"/>
        <v>193.70278403026083</v>
      </c>
      <c r="L225" s="304">
        <f t="shared" ca="1" si="87"/>
        <v>194.73521300968153</v>
      </c>
      <c r="M225" s="306">
        <f t="shared" ca="1" si="103"/>
        <v>1.4613472242867227</v>
      </c>
      <c r="N225" s="304">
        <f t="shared" ca="1" si="104"/>
        <v>83.729028354786919</v>
      </c>
      <c r="P225" s="310">
        <f t="shared" ca="1" si="105"/>
        <v>6</v>
      </c>
      <c r="Q225" s="304">
        <f t="shared" ca="1" si="106"/>
        <v>556.07000000000039</v>
      </c>
      <c r="R225" s="306">
        <f t="shared" ca="1" si="107"/>
        <v>0.2790656247419076</v>
      </c>
      <c r="S225" s="307">
        <f t="shared" ca="1" si="108"/>
        <v>7.7282741717475467</v>
      </c>
      <c r="T225" s="304">
        <f t="shared" ca="1" si="88"/>
        <v>75.814369624843437</v>
      </c>
      <c r="U225" s="311">
        <f t="shared" ca="1" si="89"/>
        <v>0</v>
      </c>
      <c r="V225" s="306">
        <f t="shared" ca="1" si="90"/>
        <v>1.201499019226457</v>
      </c>
      <c r="W225" s="304">
        <f t="shared" ca="1" si="91"/>
        <v>84.066480033096454</v>
      </c>
      <c r="Y225" s="314" t="str">
        <f t="shared" ca="1" si="109"/>
        <v/>
      </c>
      <c r="Z225" s="315" t="str">
        <f t="shared" ca="1" si="110"/>
        <v/>
      </c>
      <c r="AA225" s="316" t="str">
        <f t="shared" ca="1" si="111"/>
        <v/>
      </c>
      <c r="AC225" s="310" t="e">
        <f t="shared" ca="1" si="112"/>
        <v>#N/A</v>
      </c>
      <c r="AD225" s="323" t="e">
        <f t="shared" ca="1" si="113"/>
        <v>#N/A</v>
      </c>
      <c r="AE225" s="324">
        <f t="shared" ca="1" si="92"/>
        <v>193.70278403026083</v>
      </c>
      <c r="AG225" s="306">
        <f t="shared" ca="1" si="114"/>
        <v>51.390391858856724</v>
      </c>
      <c r="AH225" s="304">
        <f t="shared" ca="1" si="115"/>
        <v>61.141763492708634</v>
      </c>
    </row>
    <row r="226" spans="1:34" x14ac:dyDescent="0.2">
      <c r="A226" s="347">
        <f t="shared" ca="1" si="93"/>
        <v>0.01</v>
      </c>
      <c r="B226" s="304">
        <f t="shared" ca="1" si="94"/>
        <v>2.2199999999999966</v>
      </c>
      <c r="D226" s="306">
        <f t="shared" ca="1" si="95"/>
        <v>6.6530149057001982</v>
      </c>
      <c r="E226" s="307">
        <f t="shared" ca="1" si="96"/>
        <v>50.733465321859427</v>
      </c>
      <c r="F226" s="304">
        <f t="shared" ca="1" si="97"/>
        <v>51.16783277509203</v>
      </c>
      <c r="G226" s="306">
        <f t="shared" ca="1" si="98"/>
        <v>17.83651473768618</v>
      </c>
      <c r="H226" s="307">
        <f t="shared" ca="1" si="99"/>
        <v>162.21694465121672</v>
      </c>
      <c r="I226" s="304">
        <f t="shared" ca="1" si="100"/>
        <v>163.1946028211828</v>
      </c>
      <c r="J226" s="306">
        <f t="shared" ca="1" si="101"/>
        <v>20.203881913127486</v>
      </c>
      <c r="K226" s="307">
        <f t="shared" ca="1" si="102"/>
        <v>195.32241680350691</v>
      </c>
      <c r="L226" s="304">
        <f t="shared" ca="1" si="87"/>
        <v>196.3645674512652</v>
      </c>
      <c r="M226" s="306">
        <f t="shared" ca="1" si="103"/>
        <v>1.4612815632103755</v>
      </c>
      <c r="N226" s="304">
        <f t="shared" ca="1" si="104"/>
        <v>83.725266252233951</v>
      </c>
      <c r="P226" s="310">
        <f t="shared" ca="1" si="105"/>
        <v>6</v>
      </c>
      <c r="Q226" s="304">
        <f t="shared" ca="1" si="106"/>
        <v>554.61000000000047</v>
      </c>
      <c r="R226" s="306">
        <f t="shared" ca="1" si="107"/>
        <v>0.27833291876581978</v>
      </c>
      <c r="S226" s="307">
        <f t="shared" ca="1" si="108"/>
        <v>7.7254908425598883</v>
      </c>
      <c r="T226" s="304">
        <f t="shared" ca="1" si="88"/>
        <v>75.787065165512502</v>
      </c>
      <c r="U226" s="311">
        <f t="shared" ca="1" si="89"/>
        <v>0</v>
      </c>
      <c r="V226" s="306">
        <f t="shared" ca="1" si="90"/>
        <v>1.2013044178601266</v>
      </c>
      <c r="W226" s="304">
        <f t="shared" ca="1" si="91"/>
        <v>84.582313743351449</v>
      </c>
      <c r="Y226" s="314" t="str">
        <f t="shared" ca="1" si="109"/>
        <v/>
      </c>
      <c r="Z226" s="315" t="str">
        <f t="shared" ca="1" si="110"/>
        <v/>
      </c>
      <c r="AA226" s="316" t="str">
        <f t="shared" ca="1" si="111"/>
        <v/>
      </c>
      <c r="AC226" s="310" t="e">
        <f t="shared" ca="1" si="112"/>
        <v>#N/A</v>
      </c>
      <c r="AD226" s="323" t="e">
        <f t="shared" ca="1" si="113"/>
        <v>#N/A</v>
      </c>
      <c r="AE226" s="324">
        <f t="shared" ca="1" si="92"/>
        <v>195.32241680350691</v>
      </c>
      <c r="AG226" s="306">
        <f t="shared" ca="1" si="114"/>
        <v>51.156611345628576</v>
      </c>
      <c r="AH226" s="304">
        <f t="shared" ca="1" si="115"/>
        <v>60.907912462295606</v>
      </c>
    </row>
    <row r="227" spans="1:34" x14ac:dyDescent="0.2">
      <c r="A227" s="347">
        <f t="shared" ca="1" si="93"/>
        <v>0.01</v>
      </c>
      <c r="B227" s="304">
        <f t="shared" ca="1" si="94"/>
        <v>2.2299999999999964</v>
      </c>
      <c r="D227" s="306">
        <f t="shared" ca="1" si="95"/>
        <v>6.6314201041667236</v>
      </c>
      <c r="E227" s="307">
        <f t="shared" ca="1" si="96"/>
        <v>50.500476784105544</v>
      </c>
      <c r="F227" s="304">
        <f t="shared" ca="1" si="97"/>
        <v>50.934015039263592</v>
      </c>
      <c r="G227" s="306">
        <f t="shared" ca="1" si="98"/>
        <v>17.902828938727847</v>
      </c>
      <c r="H227" s="307">
        <f t="shared" ca="1" si="99"/>
        <v>162.72194941905778</v>
      </c>
      <c r="I227" s="304">
        <f t="shared" ca="1" si="100"/>
        <v>163.70383045838528</v>
      </c>
      <c r="J227" s="306">
        <f t="shared" ca="1" si="101"/>
        <v>20.382578631509556</v>
      </c>
      <c r="K227" s="307">
        <f t="shared" ca="1" si="102"/>
        <v>196.9471112738583</v>
      </c>
      <c r="L227" s="304">
        <f t="shared" ca="1" si="87"/>
        <v>197.99902563090353</v>
      </c>
      <c r="M227" s="306">
        <f t="shared" ca="1" si="103"/>
        <v>1.461216067271573</v>
      </c>
      <c r="N227" s="304">
        <f t="shared" ca="1" si="104"/>
        <v>83.72151361136531</v>
      </c>
      <c r="P227" s="310">
        <f t="shared" ca="1" si="105"/>
        <v>6</v>
      </c>
      <c r="Q227" s="304">
        <f t="shared" ca="1" si="106"/>
        <v>553.15000000000055</v>
      </c>
      <c r="R227" s="306">
        <f t="shared" ca="1" si="107"/>
        <v>0.2776002127897319</v>
      </c>
      <c r="S227" s="307">
        <f t="shared" ca="1" si="108"/>
        <v>7.7227148404319905</v>
      </c>
      <c r="T227" s="304">
        <f t="shared" ca="1" si="88"/>
        <v>75.759832584637834</v>
      </c>
      <c r="U227" s="311">
        <f t="shared" ca="1" si="89"/>
        <v>0</v>
      </c>
      <c r="V227" s="306">
        <f t="shared" ca="1" si="90"/>
        <v>1.2011092396805056</v>
      </c>
      <c r="W227" s="304">
        <f t="shared" ca="1" si="91"/>
        <v>85.097165480944042</v>
      </c>
      <c r="Y227" s="314" t="str">
        <f t="shared" ca="1" si="109"/>
        <v/>
      </c>
      <c r="Z227" s="315" t="str">
        <f t="shared" ca="1" si="110"/>
        <v/>
      </c>
      <c r="AA227" s="316" t="str">
        <f t="shared" ca="1" si="111"/>
        <v/>
      </c>
      <c r="AC227" s="310" t="e">
        <f t="shared" ca="1" si="112"/>
        <v>#N/A</v>
      </c>
      <c r="AD227" s="323" t="e">
        <f t="shared" ca="1" si="113"/>
        <v>#N/A</v>
      </c>
      <c r="AE227" s="324">
        <f t="shared" ca="1" si="92"/>
        <v>196.9471112738583</v>
      </c>
      <c r="AG227" s="306">
        <f t="shared" ca="1" si="114"/>
        <v>50.92272860808346</v>
      </c>
      <c r="AH227" s="304">
        <f t="shared" ca="1" si="115"/>
        <v>60.673959344384976</v>
      </c>
    </row>
    <row r="228" spans="1:34" x14ac:dyDescent="0.2">
      <c r="A228" s="347">
        <f t="shared" ca="1" si="93"/>
        <v>0.01</v>
      </c>
      <c r="B228" s="304">
        <f t="shared" ca="1" si="94"/>
        <v>2.2399999999999962</v>
      </c>
      <c r="D228" s="306">
        <f t="shared" ca="1" si="95"/>
        <v>6.6097740506946181</v>
      </c>
      <c r="E228" s="307">
        <f t="shared" ca="1" si="96"/>
        <v>50.267394607835485</v>
      </c>
      <c r="F228" s="304">
        <f t="shared" ca="1" si="97"/>
        <v>50.700099345672726</v>
      </c>
      <c r="G228" s="306">
        <f t="shared" ca="1" si="98"/>
        <v>17.968926679234794</v>
      </c>
      <c r="H228" s="307">
        <f t="shared" ca="1" si="99"/>
        <v>163.22462336513613</v>
      </c>
      <c r="I228" s="304">
        <f t="shared" ca="1" si="100"/>
        <v>164.21071828201184</v>
      </c>
      <c r="J228" s="306">
        <f t="shared" ca="1" si="101"/>
        <v>20.56193740959937</v>
      </c>
      <c r="K228" s="307">
        <f t="shared" ca="1" si="102"/>
        <v>198.57684413777926</v>
      </c>
      <c r="L228" s="304">
        <f t="shared" ca="1" si="87"/>
        <v>199.63856415471474</v>
      </c>
      <c r="M228" s="306">
        <f t="shared" ca="1" si="103"/>
        <v>1.4611507346135668</v>
      </c>
      <c r="N228" s="304">
        <f t="shared" ca="1" si="104"/>
        <v>83.71777032579719</v>
      </c>
      <c r="P228" s="310">
        <f t="shared" ca="1" si="105"/>
        <v>6</v>
      </c>
      <c r="Q228" s="304">
        <f t="shared" ca="1" si="106"/>
        <v>551.69000000000051</v>
      </c>
      <c r="R228" s="306">
        <f t="shared" ca="1" si="107"/>
        <v>0.27686750681364403</v>
      </c>
      <c r="S228" s="307">
        <f t="shared" ca="1" si="108"/>
        <v>7.7199461653638544</v>
      </c>
      <c r="T228" s="304">
        <f t="shared" ca="1" si="88"/>
        <v>75.732671882219421</v>
      </c>
      <c r="U228" s="311">
        <f t="shared" ca="1" si="89"/>
        <v>0</v>
      </c>
      <c r="V228" s="306">
        <f t="shared" ca="1" si="90"/>
        <v>1.2009134877723446</v>
      </c>
      <c r="W228" s="304">
        <f t="shared" ca="1" si="91"/>
        <v>85.611011364215003</v>
      </c>
      <c r="Y228" s="314" t="str">
        <f t="shared" ca="1" si="109"/>
        <v/>
      </c>
      <c r="Z228" s="315" t="str">
        <f t="shared" ca="1" si="110"/>
        <v/>
      </c>
      <c r="AA228" s="316" t="str">
        <f t="shared" ca="1" si="111"/>
        <v/>
      </c>
      <c r="AC228" s="310" t="e">
        <f t="shared" ca="1" si="112"/>
        <v>#N/A</v>
      </c>
      <c r="AD228" s="323" t="e">
        <f t="shared" ca="1" si="113"/>
        <v>#N/A</v>
      </c>
      <c r="AE228" s="324">
        <f t="shared" ca="1" si="92"/>
        <v>198.57684413777926</v>
      </c>
      <c r="AG228" s="306">
        <f t="shared" ca="1" si="114"/>
        <v>50.688747317165856</v>
      </c>
      <c r="AH228" s="304">
        <f t="shared" ca="1" si="115"/>
        <v>60.439907808225648</v>
      </c>
    </row>
    <row r="229" spans="1:34" x14ac:dyDescent="0.2">
      <c r="A229" s="347">
        <f t="shared" ca="1" si="93"/>
        <v>0.01</v>
      </c>
      <c r="B229" s="304">
        <f t="shared" ca="1" si="94"/>
        <v>2.249999999999996</v>
      </c>
      <c r="D229" s="306">
        <f t="shared" ca="1" si="95"/>
        <v>6.5880773529509105</v>
      </c>
      <c r="E229" s="307">
        <f t="shared" ca="1" si="96"/>
        <v>50.034222408591262</v>
      </c>
      <c r="F229" s="304">
        <f t="shared" ca="1" si="97"/>
        <v>50.466089359498035</v>
      </c>
      <c r="G229" s="306">
        <f t="shared" ca="1" si="98"/>
        <v>18.034807452764305</v>
      </c>
      <c r="H229" s="307">
        <f t="shared" ca="1" si="99"/>
        <v>163.72496558922205</v>
      </c>
      <c r="I229" s="304">
        <f t="shared" ca="1" si="100"/>
        <v>164.71526534310726</v>
      </c>
      <c r="J229" s="306">
        <f t="shared" ca="1" si="101"/>
        <v>20.741956080259364</v>
      </c>
      <c r="K229" s="307">
        <f t="shared" ca="1" si="102"/>
        <v>200.21159208255105</v>
      </c>
      <c r="L229" s="304">
        <f t="shared" ca="1" si="87"/>
        <v>201.28315961914257</v>
      </c>
      <c r="M229" s="306">
        <f t="shared" ca="1" si="103"/>
        <v>1.4610855634022311</v>
      </c>
      <c r="N229" s="304">
        <f t="shared" ca="1" si="104"/>
        <v>83.714036290441896</v>
      </c>
      <c r="P229" s="310">
        <f t="shared" ca="1" si="105"/>
        <v>6</v>
      </c>
      <c r="Q229" s="304">
        <f t="shared" ca="1" si="106"/>
        <v>550.23000000000059</v>
      </c>
      <c r="R229" s="306">
        <f t="shared" ca="1" si="107"/>
        <v>0.2761348008375562</v>
      </c>
      <c r="S229" s="307">
        <f t="shared" ca="1" si="108"/>
        <v>7.7171848173554789</v>
      </c>
      <c r="T229" s="304">
        <f t="shared" ca="1" si="88"/>
        <v>75.705583058257247</v>
      </c>
      <c r="U229" s="311">
        <f t="shared" ca="1" si="89"/>
        <v>0</v>
      </c>
      <c r="V229" s="306">
        <f t="shared" ca="1" si="90"/>
        <v>1.2007171652204618</v>
      </c>
      <c r="W229" s="304">
        <f t="shared" ca="1" si="91"/>
        <v>86.123827664449067</v>
      </c>
      <c r="Y229" s="314" t="str">
        <f t="shared" ca="1" si="109"/>
        <v/>
      </c>
      <c r="Z229" s="315" t="str">
        <f t="shared" ca="1" si="110"/>
        <v/>
      </c>
      <c r="AA229" s="316" t="str">
        <f t="shared" ca="1" si="111"/>
        <v/>
      </c>
      <c r="AC229" s="310" t="e">
        <f t="shared" ca="1" si="112"/>
        <v>#N/A</v>
      </c>
      <c r="AD229" s="323" t="e">
        <f t="shared" ca="1" si="113"/>
        <v>#N/A</v>
      </c>
      <c r="AE229" s="324">
        <f t="shared" ca="1" si="92"/>
        <v>200.21159208255105</v>
      </c>
      <c r="AG229" s="306">
        <f t="shared" ca="1" si="114"/>
        <v>50.454671129890869</v>
      </c>
      <c r="AH229" s="304">
        <f t="shared" ca="1" si="115"/>
        <v>60.205761509156261</v>
      </c>
    </row>
    <row r="230" spans="1:34" x14ac:dyDescent="0.2">
      <c r="A230" s="347">
        <f t="shared" ca="1" si="93"/>
        <v>0.01</v>
      </c>
      <c r="B230" s="304">
        <f t="shared" ca="1" si="94"/>
        <v>2.2599999999999958</v>
      </c>
      <c r="D230" s="306">
        <f t="shared" ca="1" si="95"/>
        <v>6.5663306150247926</v>
      </c>
      <c r="E230" s="307">
        <f t="shared" ca="1" si="96"/>
        <v>49.800963788116718</v>
      </c>
      <c r="F230" s="304">
        <f t="shared" ca="1" si="97"/>
        <v>50.231988731993525</v>
      </c>
      <c r="G230" s="306">
        <f t="shared" ca="1" si="98"/>
        <v>18.100470758914554</v>
      </c>
      <c r="H230" s="307">
        <f t="shared" ca="1" si="99"/>
        <v>164.22297522710321</v>
      </c>
      <c r="I230" s="304">
        <f t="shared" ca="1" si="100"/>
        <v>165.21747072914559</v>
      </c>
      <c r="J230" s="306">
        <f t="shared" ca="1" si="101"/>
        <v>20.922632471317758</v>
      </c>
      <c r="K230" s="307">
        <f t="shared" ca="1" si="102"/>
        <v>201.85133178663267</v>
      </c>
      <c r="L230" s="304">
        <f t="shared" ca="1" si="87"/>
        <v>202.93278861132103</v>
      </c>
      <c r="M230" s="306">
        <f t="shared" ca="1" si="103"/>
        <v>1.4610205518256623</v>
      </c>
      <c r="N230" s="304">
        <f t="shared" ca="1" si="104"/>
        <v>83.710311401485015</v>
      </c>
      <c r="P230" s="310">
        <f t="shared" ca="1" si="105"/>
        <v>6</v>
      </c>
      <c r="Q230" s="304">
        <f t="shared" ca="1" si="106"/>
        <v>548.77000000000055</v>
      </c>
      <c r="R230" s="306">
        <f t="shared" ca="1" si="107"/>
        <v>0.27540209486146833</v>
      </c>
      <c r="S230" s="307">
        <f t="shared" ca="1" si="108"/>
        <v>7.7144307964068641</v>
      </c>
      <c r="T230" s="304">
        <f t="shared" ca="1" si="88"/>
        <v>75.678566112751341</v>
      </c>
      <c r="U230" s="311">
        <f t="shared" ca="1" si="89"/>
        <v>0</v>
      </c>
      <c r="V230" s="306">
        <f t="shared" ca="1" si="90"/>
        <v>1.200520275109682</v>
      </c>
      <c r="W230" s="304">
        <f t="shared" ca="1" si="91"/>
        <v>86.635590806438088</v>
      </c>
      <c r="Y230" s="314" t="str">
        <f t="shared" ca="1" si="109"/>
        <v/>
      </c>
      <c r="Z230" s="315" t="str">
        <f t="shared" ca="1" si="110"/>
        <v/>
      </c>
      <c r="AA230" s="316" t="str">
        <f t="shared" ca="1" si="111"/>
        <v/>
      </c>
      <c r="AC230" s="310" t="e">
        <f t="shared" ca="1" si="112"/>
        <v>#N/A</v>
      </c>
      <c r="AD230" s="323" t="e">
        <f t="shared" ca="1" si="113"/>
        <v>#N/A</v>
      </c>
      <c r="AE230" s="324">
        <f t="shared" ca="1" si="92"/>
        <v>201.85133178663267</v>
      </c>
      <c r="AG230" s="306">
        <f t="shared" ca="1" si="114"/>
        <v>50.220503689209664</v>
      </c>
      <c r="AH230" s="304">
        <f t="shared" ca="1" si="115"/>
        <v>59.971524088470311</v>
      </c>
    </row>
    <row r="231" spans="1:34" x14ac:dyDescent="0.2">
      <c r="A231" s="347">
        <f t="shared" ca="1" si="93"/>
        <v>0.01</v>
      </c>
      <c r="B231" s="304">
        <f t="shared" ca="1" si="94"/>
        <v>2.2699999999999956</v>
      </c>
      <c r="D231" s="306">
        <f t="shared" ca="1" si="95"/>
        <v>6.5445344374511656</v>
      </c>
      <c r="E231" s="307">
        <f t="shared" ca="1" si="96"/>
        <v>49.56762233422252</v>
      </c>
      <c r="F231" s="304">
        <f t="shared" ca="1" si="97"/>
        <v>49.997801100359396</v>
      </c>
      <c r="G231" s="306">
        <f t="shared" ca="1" si="98"/>
        <v>18.165916103289067</v>
      </c>
      <c r="H231" s="307">
        <f t="shared" ca="1" si="99"/>
        <v>164.71865145044544</v>
      </c>
      <c r="I231" s="304">
        <f t="shared" ca="1" si="100"/>
        <v>165.71733356388845</v>
      </c>
      <c r="J231" s="306">
        <f t="shared" ca="1" si="101"/>
        <v>21.103964405628776</v>
      </c>
      <c r="K231" s="307">
        <f t="shared" ca="1" si="102"/>
        <v>203.49603992002042</v>
      </c>
      <c r="L231" s="304">
        <f t="shared" ca="1" si="87"/>
        <v>204.58742770943817</v>
      </c>
      <c r="M231" s="306">
        <f t="shared" ca="1" si="103"/>
        <v>1.4609556980937863</v>
      </c>
      <c r="N231" s="304">
        <f t="shared" ca="1" si="104"/>
        <v>83.706595556362842</v>
      </c>
      <c r="P231" s="310">
        <f t="shared" ca="1" si="105"/>
        <v>6</v>
      </c>
      <c r="Q231" s="304">
        <f t="shared" ca="1" si="106"/>
        <v>547.31000000000063</v>
      </c>
      <c r="R231" s="306">
        <f t="shared" ca="1" si="107"/>
        <v>0.27466938888538045</v>
      </c>
      <c r="S231" s="307">
        <f t="shared" ca="1" si="108"/>
        <v>7.7116841025180101</v>
      </c>
      <c r="T231" s="304">
        <f t="shared" ca="1" si="88"/>
        <v>75.651621045701688</v>
      </c>
      <c r="U231" s="311">
        <f t="shared" ca="1" si="89"/>
        <v>0</v>
      </c>
      <c r="V231" s="306">
        <f t="shared" ca="1" si="90"/>
        <v>1.2003228205247778</v>
      </c>
      <c r="W231" s="304">
        <f t="shared" ca="1" si="91"/>
        <v>87.14627736902996</v>
      </c>
      <c r="Y231" s="314" t="str">
        <f t="shared" ca="1" si="109"/>
        <v/>
      </c>
      <c r="Z231" s="315" t="str">
        <f t="shared" ca="1" si="110"/>
        <v/>
      </c>
      <c r="AA231" s="316" t="str">
        <f t="shared" ca="1" si="111"/>
        <v/>
      </c>
      <c r="AC231" s="310" t="e">
        <f t="shared" ca="1" si="112"/>
        <v>#N/A</v>
      </c>
      <c r="AD231" s="323" t="e">
        <f t="shared" ca="1" si="113"/>
        <v>#N/A</v>
      </c>
      <c r="AE231" s="324">
        <f t="shared" ca="1" si="92"/>
        <v>203.49603992002042</v>
      </c>
      <c r="AG231" s="306">
        <f t="shared" ca="1" si="114"/>
        <v>49.986248623877216</v>
      </c>
      <c r="AH231" s="304">
        <f t="shared" ca="1" si="115"/>
        <v>59.737199173283521</v>
      </c>
    </row>
    <row r="232" spans="1:34" x14ac:dyDescent="0.2">
      <c r="A232" s="347">
        <f t="shared" ca="1" si="93"/>
        <v>0.01</v>
      </c>
      <c r="B232" s="304">
        <f t="shared" ca="1" si="94"/>
        <v>2.2799999999999954</v>
      </c>
      <c r="D232" s="306">
        <f t="shared" ca="1" si="95"/>
        <v>6.5226894172334902</v>
      </c>
      <c r="E232" s="307">
        <f t="shared" ca="1" si="96"/>
        <v>49.33420162065282</v>
      </c>
      <c r="F232" s="304">
        <f t="shared" ca="1" si="97"/>
        <v>49.763530087614498</v>
      </c>
      <c r="G232" s="306">
        <f t="shared" ca="1" si="98"/>
        <v>18.231142997461401</v>
      </c>
      <c r="H232" s="307">
        <f t="shared" ca="1" si="99"/>
        <v>165.21199346665196</v>
      </c>
      <c r="I232" s="304">
        <f t="shared" ca="1" si="100"/>
        <v>166.2148530072416</v>
      </c>
      <c r="J232" s="306">
        <f t="shared" ca="1" si="101"/>
        <v>21.28594970113253</v>
      </c>
      <c r="K232" s="307">
        <f t="shared" ca="1" si="102"/>
        <v>205.1456931446059</v>
      </c>
      <c r="L232" s="304">
        <f t="shared" ca="1" si="87"/>
        <v>206.24705348309814</v>
      </c>
      <c r="M232" s="306">
        <f t="shared" ca="1" si="103"/>
        <v>1.4608910004379736</v>
      </c>
      <c r="N232" s="304">
        <f t="shared" ca="1" si="104"/>
        <v>83.702888653740388</v>
      </c>
      <c r="P232" s="310">
        <f t="shared" ca="1" si="105"/>
        <v>6</v>
      </c>
      <c r="Q232" s="304">
        <f t="shared" ca="1" si="106"/>
        <v>545.8500000000007</v>
      </c>
      <c r="R232" s="306">
        <f t="shared" ca="1" si="107"/>
        <v>0.27393668290929263</v>
      </c>
      <c r="S232" s="307">
        <f t="shared" ca="1" si="108"/>
        <v>7.7089447356889167</v>
      </c>
      <c r="T232" s="304">
        <f t="shared" ca="1" si="88"/>
        <v>75.624747857108275</v>
      </c>
      <c r="U232" s="311">
        <f t="shared" ca="1" si="89"/>
        <v>0</v>
      </c>
      <c r="V232" s="306">
        <f t="shared" ca="1" si="90"/>
        <v>1.2001248045504165</v>
      </c>
      <c r="W232" s="304">
        <f t="shared" ca="1" si="91"/>
        <v>87.655864085662358</v>
      </c>
      <c r="Y232" s="314" t="str">
        <f t="shared" ca="1" si="109"/>
        <v/>
      </c>
      <c r="Z232" s="315" t="str">
        <f t="shared" ca="1" si="110"/>
        <v/>
      </c>
      <c r="AA232" s="316" t="str">
        <f t="shared" ca="1" si="111"/>
        <v/>
      </c>
      <c r="AC232" s="310" t="e">
        <f t="shared" ca="1" si="112"/>
        <v>#N/A</v>
      </c>
      <c r="AD232" s="323" t="e">
        <f t="shared" ca="1" si="113"/>
        <v>#N/A</v>
      </c>
      <c r="AE232" s="324">
        <f t="shared" ca="1" si="92"/>
        <v>205.1456931446059</v>
      </c>
      <c r="AG232" s="306">
        <f t="shared" ca="1" si="114"/>
        <v>49.751909548321422</v>
      </c>
      <c r="AH232" s="304">
        <f t="shared" ca="1" si="115"/>
        <v>59.5027903764027</v>
      </c>
    </row>
    <row r="233" spans="1:34" x14ac:dyDescent="0.2">
      <c r="A233" s="347">
        <f t="shared" ca="1" si="93"/>
        <v>0.01</v>
      </c>
      <c r="B233" s="304">
        <f t="shared" ca="1" si="94"/>
        <v>2.2899999999999952</v>
      </c>
      <c r="D233" s="306">
        <f t="shared" ca="1" si="95"/>
        <v>6.5007961478659944</v>
      </c>
      <c r="E233" s="307">
        <f t="shared" ca="1" si="96"/>
        <v>49.100705206954053</v>
      </c>
      <c r="F233" s="304">
        <f t="shared" ca="1" si="97"/>
        <v>49.529179302470922</v>
      </c>
      <c r="G233" s="306">
        <f t="shared" ca="1" si="98"/>
        <v>18.296150958940061</v>
      </c>
      <c r="H233" s="307">
        <f t="shared" ca="1" si="99"/>
        <v>165.7030005187215</v>
      </c>
      <c r="I233" s="304">
        <f t="shared" ca="1" si="100"/>
        <v>166.7100282551105</v>
      </c>
      <c r="J233" s="306">
        <f t="shared" ca="1" si="101"/>
        <v>21.468586170914538</v>
      </c>
      <c r="K233" s="307">
        <f t="shared" ca="1" si="102"/>
        <v>206.80026811453277</v>
      </c>
      <c r="L233" s="304">
        <f t="shared" ca="1" si="87"/>
        <v>207.91164249368197</v>
      </c>
      <c r="M233" s="306">
        <f t="shared" ca="1" si="103"/>
        <v>1.4608264571106631</v>
      </c>
      <c r="N233" s="304">
        <f t="shared" ca="1" si="104"/>
        <v>83.69919059348976</v>
      </c>
      <c r="P233" s="310">
        <f t="shared" ca="1" si="105"/>
        <v>6</v>
      </c>
      <c r="Q233" s="304">
        <f t="shared" ca="1" si="106"/>
        <v>544.39000000000067</v>
      </c>
      <c r="R233" s="306">
        <f t="shared" ca="1" si="107"/>
        <v>0.27320397693320475</v>
      </c>
      <c r="S233" s="307">
        <f t="shared" ca="1" si="108"/>
        <v>7.7062126959195849</v>
      </c>
      <c r="T233" s="304">
        <f t="shared" ca="1" si="88"/>
        <v>75.59794654697113</v>
      </c>
      <c r="U233" s="311">
        <f t="shared" ca="1" si="89"/>
        <v>0</v>
      </c>
      <c r="V233" s="306">
        <f t="shared" ca="1" si="90"/>
        <v>1.1999262302710987</v>
      </c>
      <c r="W233" s="304">
        <f t="shared" ca="1" si="91"/>
        <v>88.164327844881484</v>
      </c>
      <c r="Y233" s="314" t="str">
        <f t="shared" ca="1" si="109"/>
        <v/>
      </c>
      <c r="Z233" s="315" t="str">
        <f t="shared" ca="1" si="110"/>
        <v/>
      </c>
      <c r="AA233" s="316" t="str">
        <f t="shared" ca="1" si="111"/>
        <v/>
      </c>
      <c r="AC233" s="310" t="e">
        <f t="shared" ca="1" si="112"/>
        <v>#N/A</v>
      </c>
      <c r="AD233" s="323" t="e">
        <f t="shared" ca="1" si="113"/>
        <v>#N/A</v>
      </c>
      <c r="AE233" s="324">
        <f t="shared" ca="1" si="92"/>
        <v>206.80026811453277</v>
      </c>
      <c r="AG233" s="306">
        <f t="shared" ca="1" si="114"/>
        <v>49.517490062514455</v>
      </c>
      <c r="AH233" s="304">
        <f t="shared" ca="1" si="115"/>
        <v>59.268301296196711</v>
      </c>
    </row>
    <row r="234" spans="1:34" x14ac:dyDescent="0.2">
      <c r="A234" s="347">
        <f t="shared" ca="1" si="93"/>
        <v>0.01</v>
      </c>
      <c r="B234" s="304">
        <f t="shared" ca="1" si="94"/>
        <v>2.2999999999999949</v>
      </c>
      <c r="D234" s="306">
        <f t="shared" ca="1" si="95"/>
        <v>6.4788552193551281</v>
      </c>
      <c r="E234" s="307">
        <f t="shared" ca="1" si="96"/>
        <v>48.867136638345613</v>
      </c>
      <c r="F234" s="304">
        <f t="shared" ca="1" si="97"/>
        <v>49.294752339210561</v>
      </c>
      <c r="G234" s="306">
        <f t="shared" ca="1" si="98"/>
        <v>18.360939511133612</v>
      </c>
      <c r="H234" s="307">
        <f t="shared" ca="1" si="99"/>
        <v>166.19167188510494</v>
      </c>
      <c r="I234" s="304">
        <f t="shared" ca="1" si="100"/>
        <v>167.20285853925429</v>
      </c>
      <c r="J234" s="306">
        <f t="shared" ca="1" si="101"/>
        <v>21.651871623264906</v>
      </c>
      <c r="K234" s="307">
        <f t="shared" ca="1" si="102"/>
        <v>208.4597414765519</v>
      </c>
      <c r="L234" s="304">
        <f t="shared" ca="1" si="87"/>
        <v>209.58117129470671</v>
      </c>
      <c r="M234" s="306">
        <f t="shared" ca="1" si="103"/>
        <v>1.4607620663849947</v>
      </c>
      <c r="N234" s="304">
        <f t="shared" ca="1" si="104"/>
        <v>83.695501276669177</v>
      </c>
      <c r="P234" s="310">
        <f t="shared" ca="1" si="105"/>
        <v>6</v>
      </c>
      <c r="Q234" s="304">
        <f t="shared" ca="1" si="106"/>
        <v>542.93000000000075</v>
      </c>
      <c r="R234" s="306">
        <f t="shared" ca="1" si="107"/>
        <v>0.27247127095711693</v>
      </c>
      <c r="S234" s="307">
        <f t="shared" ca="1" si="108"/>
        <v>7.7034879832100138</v>
      </c>
      <c r="T234" s="304">
        <f t="shared" ca="1" si="88"/>
        <v>75.571217115290239</v>
      </c>
      <c r="U234" s="311">
        <f t="shared" ca="1" si="89"/>
        <v>0</v>
      </c>
      <c r="V234" s="306">
        <f t="shared" ca="1" si="90"/>
        <v>1.1997271007711034</v>
      </c>
      <c r="W234" s="304">
        <f t="shared" ca="1" si="91"/>
        <v>88.671645690845835</v>
      </c>
      <c r="Y234" s="314" t="str">
        <f t="shared" ca="1" si="109"/>
        <v/>
      </c>
      <c r="Z234" s="315" t="str">
        <f t="shared" ca="1" si="110"/>
        <v/>
      </c>
      <c r="AA234" s="316" t="str">
        <f t="shared" ca="1" si="111"/>
        <v/>
      </c>
      <c r="AC234" s="310" t="e">
        <f t="shared" ca="1" si="112"/>
        <v>#N/A</v>
      </c>
      <c r="AD234" s="323" t="e">
        <f t="shared" ca="1" si="113"/>
        <v>#N/A</v>
      </c>
      <c r="AE234" s="324">
        <f t="shared" ca="1" si="92"/>
        <v>208.4597414765519</v>
      </c>
      <c r="AG234" s="306">
        <f t="shared" ca="1" si="114"/>
        <v>49.282993751845851</v>
      </c>
      <c r="AH234" s="304">
        <f t="shared" ca="1" si="115"/>
        <v>59.033735516469278</v>
      </c>
    </row>
    <row r="235" spans="1:34" x14ac:dyDescent="0.2">
      <c r="A235" s="347">
        <f t="shared" ca="1" si="93"/>
        <v>0.01</v>
      </c>
      <c r="B235" s="304">
        <f t="shared" ca="1" si="94"/>
        <v>2.3099999999999947</v>
      </c>
      <c r="D235" s="306">
        <f t="shared" ca="1" si="95"/>
        <v>6.4568672182403546</v>
      </c>
      <c r="E235" s="307">
        <f t="shared" ca="1" si="96"/>
        <v>48.633499445592335</v>
      </c>
      <c r="F235" s="304">
        <f t="shared" ca="1" si="97"/>
        <v>49.060252777563392</v>
      </c>
      <c r="G235" s="306">
        <f t="shared" ca="1" si="98"/>
        <v>18.425508183316015</v>
      </c>
      <c r="H235" s="307">
        <f t="shared" ca="1" si="99"/>
        <v>166.67800687956085</v>
      </c>
      <c r="I235" s="304">
        <f t="shared" ca="1" si="100"/>
        <v>167.693343127139</v>
      </c>
      <c r="J235" s="306">
        <f t="shared" ca="1" si="101"/>
        <v>21.835803861737155</v>
      </c>
      <c r="K235" s="307">
        <f t="shared" ca="1" si="102"/>
        <v>210.12408987037523</v>
      </c>
      <c r="L235" s="304">
        <f t="shared" ca="1" si="87"/>
        <v>211.25561643218336</v>
      </c>
      <c r="M235" s="306">
        <f t="shared" ca="1" si="103"/>
        <v>1.4606978265544486</v>
      </c>
      <c r="N235" s="304">
        <f t="shared" ca="1" si="104"/>
        <v>83.691820605502244</v>
      </c>
      <c r="P235" s="310">
        <f t="shared" ca="1" si="105"/>
        <v>6</v>
      </c>
      <c r="Q235" s="304">
        <f t="shared" ca="1" si="106"/>
        <v>541.47000000000071</v>
      </c>
      <c r="R235" s="306">
        <f t="shared" ca="1" si="107"/>
        <v>0.271738564981029</v>
      </c>
      <c r="S235" s="307">
        <f t="shared" ca="1" si="108"/>
        <v>7.7007705975602034</v>
      </c>
      <c r="T235" s="304">
        <f t="shared" ca="1" si="88"/>
        <v>75.544559562065601</v>
      </c>
      <c r="U235" s="311">
        <f t="shared" ca="1" si="89"/>
        <v>0</v>
      </c>
      <c r="V235" s="306">
        <f t="shared" ca="1" si="90"/>
        <v>1.1995274191344303</v>
      </c>
      <c r="W235" s="304">
        <f t="shared" ca="1" si="91"/>
        <v>89.177794823815532</v>
      </c>
      <c r="Y235" s="314" t="str">
        <f t="shared" ca="1" si="109"/>
        <v/>
      </c>
      <c r="Z235" s="315" t="str">
        <f t="shared" ca="1" si="110"/>
        <v/>
      </c>
      <c r="AA235" s="316" t="str">
        <f t="shared" ca="1" si="111"/>
        <v/>
      </c>
      <c r="AC235" s="310" t="e">
        <f t="shared" ca="1" si="112"/>
        <v>#N/A</v>
      </c>
      <c r="AD235" s="323" t="e">
        <f t="shared" ca="1" si="113"/>
        <v>#N/A</v>
      </c>
      <c r="AE235" s="324">
        <f t="shared" ca="1" si="92"/>
        <v>210.12408987037523</v>
      </c>
      <c r="AG235" s="306">
        <f t="shared" ca="1" si="114"/>
        <v>49.048424186997295</v>
      </c>
      <c r="AH235" s="304">
        <f t="shared" ca="1" si="115"/>
        <v>58.799096606333492</v>
      </c>
    </row>
    <row r="236" spans="1:34" x14ac:dyDescent="0.2">
      <c r="A236" s="347">
        <f t="shared" ca="1" si="93"/>
        <v>0.01</v>
      </c>
      <c r="B236" s="304">
        <f t="shared" ca="1" si="94"/>
        <v>2.3199999999999945</v>
      </c>
      <c r="D236" s="306">
        <f t="shared" ca="1" si="95"/>
        <v>6.4348327276143964</v>
      </c>
      <c r="E236" s="307">
        <f t="shared" ca="1" si="96"/>
        <v>48.39979714487913</v>
      </c>
      <c r="F236" s="304">
        <f t="shared" ca="1" si="97"/>
        <v>48.825684182588034</v>
      </c>
      <c r="G236" s="306">
        <f t="shared" ca="1" si="98"/>
        <v>18.489856510592158</v>
      </c>
      <c r="H236" s="307">
        <f t="shared" ca="1" si="99"/>
        <v>167.16200485100964</v>
      </c>
      <c r="I236" s="304">
        <f t="shared" ca="1" si="100"/>
        <v>168.18148132178899</v>
      </c>
      <c r="J236" s="306">
        <f t="shared" ca="1" si="101"/>
        <v>22.020380685206696</v>
      </c>
      <c r="K236" s="307">
        <f t="shared" ca="1" si="102"/>
        <v>211.79328992902808</v>
      </c>
      <c r="L236" s="304">
        <f t="shared" ca="1" si="87"/>
        <v>212.9349544449731</v>
      </c>
      <c r="M236" s="306">
        <f t="shared" ca="1" si="103"/>
        <v>1.4606337359324928</v>
      </c>
      <c r="N236" s="304">
        <f t="shared" ca="1" si="104"/>
        <v>83.688148483357821</v>
      </c>
      <c r="P236" s="310">
        <f t="shared" ca="1" si="105"/>
        <v>6</v>
      </c>
      <c r="Q236" s="304">
        <f t="shared" ca="1" si="106"/>
        <v>540.01000000000079</v>
      </c>
      <c r="R236" s="306">
        <f t="shared" ca="1" si="107"/>
        <v>0.27100585900494117</v>
      </c>
      <c r="S236" s="307">
        <f t="shared" ca="1" si="108"/>
        <v>7.6980605389701537</v>
      </c>
      <c r="T236" s="304">
        <f t="shared" ca="1" si="88"/>
        <v>75.517973887297217</v>
      </c>
      <c r="U236" s="311">
        <f t="shared" ca="1" si="89"/>
        <v>0</v>
      </c>
      <c r="V236" s="306">
        <f t="shared" ca="1" si="90"/>
        <v>1.199327188444745</v>
      </c>
      <c r="W236" s="304">
        <f t="shared" ca="1" si="91"/>
        <v>89.682752600626699</v>
      </c>
      <c r="Y236" s="314" t="str">
        <f t="shared" ca="1" si="109"/>
        <v/>
      </c>
      <c r="Z236" s="315" t="str">
        <f t="shared" ca="1" si="110"/>
        <v/>
      </c>
      <c r="AA236" s="316" t="str">
        <f t="shared" ca="1" si="111"/>
        <v/>
      </c>
      <c r="AC236" s="310" t="e">
        <f t="shared" ca="1" si="112"/>
        <v>#N/A</v>
      </c>
      <c r="AD236" s="323" t="e">
        <f t="shared" ca="1" si="113"/>
        <v>#N/A</v>
      </c>
      <c r="AE236" s="324">
        <f t="shared" ca="1" si="92"/>
        <v>211.79328992902808</v>
      </c>
      <c r="AG236" s="306">
        <f t="shared" ca="1" si="114"/>
        <v>48.813784923819576</v>
      </c>
      <c r="AH236" s="304">
        <f t="shared" ca="1" si="115"/>
        <v>58.564388120088438</v>
      </c>
    </row>
    <row r="237" spans="1:34" x14ac:dyDescent="0.2">
      <c r="A237" s="347">
        <f t="shared" ca="1" si="93"/>
        <v>0.01</v>
      </c>
      <c r="B237" s="304">
        <f t="shared" ca="1" si="94"/>
        <v>2.3299999999999943</v>
      </c>
      <c r="D237" s="306">
        <f t="shared" ca="1" si="95"/>
        <v>6.4127523271427407</v>
      </c>
      <c r="E237" s="307">
        <f t="shared" ca="1" si="96"/>
        <v>48.166033237687252</v>
      </c>
      <c r="F237" s="304">
        <f t="shared" ca="1" si="97"/>
        <v>48.591050104553901</v>
      </c>
      <c r="G237" s="306">
        <f t="shared" ca="1" si="98"/>
        <v>18.553984033863586</v>
      </c>
      <c r="H237" s="307">
        <f t="shared" ca="1" si="99"/>
        <v>167.6436651833865</v>
      </c>
      <c r="I237" s="304">
        <f t="shared" ca="1" si="100"/>
        <v>168.66727246163751</v>
      </c>
      <c r="J237" s="306">
        <f t="shared" ca="1" si="101"/>
        <v>22.205599887928976</v>
      </c>
      <c r="K237" s="307">
        <f t="shared" ca="1" si="102"/>
        <v>213.46731827920007</v>
      </c>
      <c r="L237" s="304">
        <f t="shared" ca="1" si="87"/>
        <v>214.61916186514216</v>
      </c>
      <c r="M237" s="306">
        <f t="shared" ca="1" si="103"/>
        <v>1.4605697928522374</v>
      </c>
      <c r="N237" s="304">
        <f t="shared" ca="1" si="104"/>
        <v>83.684484814730112</v>
      </c>
      <c r="P237" s="310">
        <f t="shared" ca="1" si="105"/>
        <v>6</v>
      </c>
      <c r="Q237" s="304">
        <f t="shared" ca="1" si="106"/>
        <v>538.55000000000086</v>
      </c>
      <c r="R237" s="306">
        <f t="shared" ca="1" si="107"/>
        <v>0.27027315302885335</v>
      </c>
      <c r="S237" s="307">
        <f t="shared" ca="1" si="108"/>
        <v>7.6953578074398656</v>
      </c>
      <c r="T237" s="304">
        <f t="shared" ca="1" si="88"/>
        <v>75.491460090985086</v>
      </c>
      <c r="U237" s="311">
        <f t="shared" ca="1" si="89"/>
        <v>0</v>
      </c>
      <c r="V237" s="306">
        <f t="shared" ca="1" si="90"/>
        <v>1.1991264117853206</v>
      </c>
      <c r="W237" s="304">
        <f t="shared" ca="1" si="91"/>
        <v>90.18649653515098</v>
      </c>
      <c r="Y237" s="314" t="str">
        <f t="shared" ca="1" si="109"/>
        <v/>
      </c>
      <c r="Z237" s="315" t="str">
        <f t="shared" ca="1" si="110"/>
        <v/>
      </c>
      <c r="AA237" s="316" t="str">
        <f t="shared" ca="1" si="111"/>
        <v/>
      </c>
      <c r="AC237" s="310" t="e">
        <f t="shared" ca="1" si="112"/>
        <v>#N/A</v>
      </c>
      <c r="AD237" s="323" t="e">
        <f t="shared" ca="1" si="113"/>
        <v>#N/A</v>
      </c>
      <c r="AE237" s="324">
        <f t="shared" ca="1" si="92"/>
        <v>213.46731827920007</v>
      </c>
      <c r="AG237" s="306">
        <f t="shared" ca="1" si="114"/>
        <v>48.579079503211119</v>
      </c>
      <c r="AH237" s="304">
        <f t="shared" ca="1" si="115"/>
        <v>58.329613597097413</v>
      </c>
    </row>
    <row r="238" spans="1:34" x14ac:dyDescent="0.2">
      <c r="A238" s="347">
        <f t="shared" ca="1" si="93"/>
        <v>0.01</v>
      </c>
      <c r="B238" s="304">
        <f t="shared" ca="1" si="94"/>
        <v>2.3399999999999941</v>
      </c>
      <c r="D238" s="306">
        <f t="shared" ca="1" si="95"/>
        <v>6.390626593082704</v>
      </c>
      <c r="E238" s="307">
        <f t="shared" ca="1" si="96"/>
        <v>47.932211210672783</v>
      </c>
      <c r="F238" s="304">
        <f t="shared" ca="1" si="97"/>
        <v>48.356354078825689</v>
      </c>
      <c r="G238" s="306">
        <f t="shared" ca="1" si="98"/>
        <v>18.617890299794414</v>
      </c>
      <c r="H238" s="307">
        <f t="shared" ca="1" si="99"/>
        <v>168.12298729549323</v>
      </c>
      <c r="I238" s="304">
        <f t="shared" ca="1" si="100"/>
        <v>169.15071592037606</v>
      </c>
      <c r="J238" s="306">
        <f t="shared" ca="1" si="101"/>
        <v>22.391459259597266</v>
      </c>
      <c r="K238" s="307">
        <f t="shared" ca="1" si="102"/>
        <v>215.14615154159446</v>
      </c>
      <c r="L238" s="304">
        <f t="shared" ca="1" si="87"/>
        <v>216.30821521831513</v>
      </c>
      <c r="M238" s="306">
        <f t="shared" ca="1" si="103"/>
        <v>1.4605059956660982</v>
      </c>
      <c r="N238" s="304">
        <f t="shared" ca="1" si="104"/>
        <v>83.680829505219535</v>
      </c>
      <c r="P238" s="310">
        <f t="shared" ca="1" si="105"/>
        <v>6</v>
      </c>
      <c r="Q238" s="304">
        <f t="shared" ca="1" si="106"/>
        <v>537.09000000000083</v>
      </c>
      <c r="R238" s="306">
        <f t="shared" ca="1" si="107"/>
        <v>0.26954044705276542</v>
      </c>
      <c r="S238" s="307">
        <f t="shared" ca="1" si="108"/>
        <v>7.6926624029693382</v>
      </c>
      <c r="T238" s="304">
        <f t="shared" ca="1" si="88"/>
        <v>75.465018173129209</v>
      </c>
      <c r="U238" s="311">
        <f t="shared" ca="1" si="89"/>
        <v>0</v>
      </c>
      <c r="V238" s="306">
        <f t="shared" ca="1" si="90"/>
        <v>1.198925092238984</v>
      </c>
      <c r="W238" s="304">
        <f t="shared" ca="1" si="91"/>
        <v>90.689004298740755</v>
      </c>
      <c r="Y238" s="314" t="str">
        <f t="shared" ca="1" si="109"/>
        <v/>
      </c>
      <c r="Z238" s="315" t="str">
        <f t="shared" ca="1" si="110"/>
        <v/>
      </c>
      <c r="AA238" s="316" t="str">
        <f t="shared" ca="1" si="111"/>
        <v/>
      </c>
      <c r="AC238" s="310" t="e">
        <f t="shared" ca="1" si="112"/>
        <v>#N/A</v>
      </c>
      <c r="AD238" s="323" t="e">
        <f t="shared" ca="1" si="113"/>
        <v>#N/A</v>
      </c>
      <c r="AE238" s="324">
        <f t="shared" ca="1" si="92"/>
        <v>215.14615154159446</v>
      </c>
      <c r="AG238" s="306">
        <f t="shared" ca="1" si="114"/>
        <v>48.344311450998546</v>
      </c>
      <c r="AH238" s="304">
        <f t="shared" ca="1" si="115"/>
        <v>58.094776561668276</v>
      </c>
    </row>
    <row r="239" spans="1:34" x14ac:dyDescent="0.2">
      <c r="A239" s="347">
        <f t="shared" ca="1" si="93"/>
        <v>0.01</v>
      </c>
      <c r="B239" s="304">
        <f t="shared" ca="1" si="94"/>
        <v>2.3499999999999939</v>
      </c>
      <c r="D239" s="306">
        <f t="shared" ca="1" si="95"/>
        <v>6.3684560983017331</v>
      </c>
      <c r="E239" s="307">
        <f t="shared" ca="1" si="96"/>
        <v>47.698334535546842</v>
      </c>
      <c r="F239" s="304">
        <f t="shared" ca="1" si="97"/>
        <v>48.121599625749525</v>
      </c>
      <c r="G239" s="306">
        <f t="shared" ca="1" si="98"/>
        <v>18.681574860777431</v>
      </c>
      <c r="H239" s="307">
        <f t="shared" ca="1" si="99"/>
        <v>168.59997064084871</v>
      </c>
      <c r="I239" s="304">
        <f t="shared" ca="1" si="100"/>
        <v>169.63181110680236</v>
      </c>
      <c r="J239" s="306">
        <f t="shared" ca="1" si="101"/>
        <v>22.577956585400123</v>
      </c>
      <c r="K239" s="307">
        <f t="shared" ca="1" si="102"/>
        <v>216.82976633127618</v>
      </c>
      <c r="L239" s="304">
        <f t="shared" ca="1" si="87"/>
        <v>218.00209102402673</v>
      </c>
      <c r="M239" s="306">
        <f t="shared" ca="1" si="103"/>
        <v>1.4604423427454629</v>
      </c>
      <c r="N239" s="304">
        <f t="shared" ca="1" si="104"/>
        <v>83.677182461513439</v>
      </c>
      <c r="P239" s="310">
        <f t="shared" ca="1" si="105"/>
        <v>6</v>
      </c>
      <c r="Q239" s="304">
        <f t="shared" ca="1" si="106"/>
        <v>535.6300000000009</v>
      </c>
      <c r="R239" s="306">
        <f t="shared" ca="1" si="107"/>
        <v>0.2688077410766776</v>
      </c>
      <c r="S239" s="307">
        <f t="shared" ca="1" si="108"/>
        <v>7.6899743255585715</v>
      </c>
      <c r="T239" s="304">
        <f t="shared" ca="1" si="88"/>
        <v>75.438648133729586</v>
      </c>
      <c r="U239" s="311">
        <f t="shared" ca="1" si="89"/>
        <v>0</v>
      </c>
      <c r="V239" s="306">
        <f t="shared" ca="1" si="90"/>
        <v>1.1987232328880597</v>
      </c>
      <c r="W239" s="304">
        <f t="shared" ca="1" si="91"/>
        <v>91.190253720659641</v>
      </c>
      <c r="Y239" s="314" t="str">
        <f t="shared" ca="1" si="109"/>
        <v/>
      </c>
      <c r="Z239" s="315" t="str">
        <f t="shared" ca="1" si="110"/>
        <v/>
      </c>
      <c r="AA239" s="316" t="str">
        <f t="shared" ca="1" si="111"/>
        <v/>
      </c>
      <c r="AC239" s="310" t="e">
        <f t="shared" ca="1" si="112"/>
        <v>#N/A</v>
      </c>
      <c r="AD239" s="323" t="e">
        <f t="shared" ca="1" si="113"/>
        <v>#N/A</v>
      </c>
      <c r="AE239" s="324">
        <f t="shared" ca="1" si="92"/>
        <v>216.82976633127618</v>
      </c>
      <c r="AG239" s="306">
        <f t="shared" ca="1" si="114"/>
        <v>48.109484277819043</v>
      </c>
      <c r="AH239" s="304">
        <f t="shared" ca="1" si="115"/>
        <v>57.859880522935462</v>
      </c>
    </row>
    <row r="240" spans="1:34" x14ac:dyDescent="0.2">
      <c r="A240" s="347">
        <f t="shared" ca="1" si="93"/>
        <v>0.01</v>
      </c>
      <c r="B240" s="304">
        <f t="shared" ca="1" si="94"/>
        <v>2.3599999999999937</v>
      </c>
      <c r="D240" s="306">
        <f t="shared" ca="1" si="95"/>
        <v>6.3462414122954067</v>
      </c>
      <c r="E240" s="307">
        <f t="shared" ca="1" si="96"/>
        <v>47.464406668957714</v>
      </c>
      <c r="F240" s="304">
        <f t="shared" ca="1" si="97"/>
        <v>47.886790250541232</v>
      </c>
      <c r="G240" s="306">
        <f t="shared" ca="1" si="98"/>
        <v>18.745037274900387</v>
      </c>
      <c r="H240" s="307">
        <f t="shared" ca="1" si="99"/>
        <v>169.07461470753827</v>
      </c>
      <c r="I240" s="304">
        <f t="shared" ca="1" si="100"/>
        <v>170.11055746466744</v>
      </c>
      <c r="J240" s="306">
        <f t="shared" ca="1" si="101"/>
        <v>22.765089646078511</v>
      </c>
      <c r="K240" s="307">
        <f t="shared" ca="1" si="102"/>
        <v>218.51813925801812</v>
      </c>
      <c r="L240" s="304">
        <f t="shared" ca="1" si="87"/>
        <v>219.70076579607226</v>
      </c>
      <c r="M240" s="306">
        <f t="shared" ca="1" si="103"/>
        <v>1.4603788324803701</v>
      </c>
      <c r="N240" s="304">
        <f t="shared" ca="1" si="104"/>
        <v>83.673543591367874</v>
      </c>
      <c r="P240" s="310">
        <f t="shared" ca="1" si="105"/>
        <v>6</v>
      </c>
      <c r="Q240" s="304">
        <f t="shared" ca="1" si="106"/>
        <v>534.17000000000087</v>
      </c>
      <c r="R240" s="306">
        <f t="shared" ca="1" si="107"/>
        <v>0.26807503510058972</v>
      </c>
      <c r="S240" s="307">
        <f t="shared" ca="1" si="108"/>
        <v>7.6872935752075655</v>
      </c>
      <c r="T240" s="304">
        <f t="shared" ca="1" si="88"/>
        <v>75.412349972786217</v>
      </c>
      <c r="U240" s="311">
        <f t="shared" ca="1" si="89"/>
        <v>0</v>
      </c>
      <c r="V240" s="306">
        <f t="shared" ca="1" si="90"/>
        <v>1.198520836814315</v>
      </c>
      <c r="W240" s="304">
        <f t="shared" ca="1" si="91"/>
        <v>91.690222788498488</v>
      </c>
      <c r="Y240" s="314" t="str">
        <f t="shared" ca="1" si="109"/>
        <v/>
      </c>
      <c r="Z240" s="315" t="str">
        <f t="shared" ca="1" si="110"/>
        <v/>
      </c>
      <c r="AA240" s="316" t="str">
        <f t="shared" ca="1" si="111"/>
        <v/>
      </c>
      <c r="AC240" s="310" t="e">
        <f t="shared" ca="1" si="112"/>
        <v>#N/A</v>
      </c>
      <c r="AD240" s="323" t="e">
        <f t="shared" ca="1" si="113"/>
        <v>#N/A</v>
      </c>
      <c r="AE240" s="324">
        <f t="shared" ca="1" si="92"/>
        <v>218.51813925801812</v>
      </c>
      <c r="AG240" s="306">
        <f t="shared" ca="1" si="114"/>
        <v>47.874601479004525</v>
      </c>
      <c r="AH240" s="304">
        <f t="shared" ca="1" si="115"/>
        <v>57.624928974743916</v>
      </c>
    </row>
    <row r="241" spans="1:34" x14ac:dyDescent="0.2">
      <c r="A241" s="347">
        <f t="shared" ca="1" si="93"/>
        <v>0.01</v>
      </c>
      <c r="B241" s="304">
        <f t="shared" ca="1" si="94"/>
        <v>2.3699999999999934</v>
      </c>
      <c r="D241" s="306">
        <f t="shared" ca="1" si="95"/>
        <v>6.3239831012046324</v>
      </c>
      <c r="E241" s="307">
        <f t="shared" ca="1" si="96"/>
        <v>47.230431052375046</v>
      </c>
      <c r="F241" s="304">
        <f t="shared" ca="1" si="97"/>
        <v>47.651929443176535</v>
      </c>
      <c r="G241" s="306">
        <f t="shared" ca="1" si="98"/>
        <v>18.808277105912435</v>
      </c>
      <c r="H241" s="307">
        <f t="shared" ca="1" si="99"/>
        <v>169.54691901806203</v>
      </c>
      <c r="I241" s="304">
        <f t="shared" ca="1" si="100"/>
        <v>170.58695447252134</v>
      </c>
      <c r="J241" s="306">
        <f t="shared" ca="1" si="101"/>
        <v>22.952856217982575</v>
      </c>
      <c r="K241" s="307">
        <f t="shared" ca="1" si="102"/>
        <v>220.21124692664611</v>
      </c>
      <c r="L241" s="304">
        <f t="shared" ca="1" si="87"/>
        <v>221.40421604285606</v>
      </c>
      <c r="M241" s="306">
        <f t="shared" ca="1" si="103"/>
        <v>1.4603154632791902</v>
      </c>
      <c r="N241" s="304">
        <f t="shared" ca="1" si="104"/>
        <v>83.669912803589142</v>
      </c>
      <c r="P241" s="310">
        <f t="shared" ca="1" si="105"/>
        <v>6</v>
      </c>
      <c r="Q241" s="304">
        <f t="shared" ca="1" si="106"/>
        <v>532.71000000000095</v>
      </c>
      <c r="R241" s="306">
        <f t="shared" ca="1" si="107"/>
        <v>0.2673423291245019</v>
      </c>
      <c r="S241" s="307">
        <f t="shared" ca="1" si="108"/>
        <v>7.6846201519163202</v>
      </c>
      <c r="T241" s="304">
        <f t="shared" ca="1" si="88"/>
        <v>75.386123690299101</v>
      </c>
      <c r="U241" s="311">
        <f t="shared" ca="1" si="89"/>
        <v>0</v>
      </c>
      <c r="V241" s="306">
        <f t="shared" ca="1" si="90"/>
        <v>1.1983179070989038</v>
      </c>
      <c r="W241" s="304">
        <f t="shared" ca="1" si="91"/>
        <v>92.188889648576776</v>
      </c>
      <c r="Y241" s="314" t="str">
        <f t="shared" ca="1" si="109"/>
        <v/>
      </c>
      <c r="Z241" s="315" t="str">
        <f t="shared" ca="1" si="110"/>
        <v/>
      </c>
      <c r="AA241" s="316" t="str">
        <f t="shared" ca="1" si="111"/>
        <v/>
      </c>
      <c r="AC241" s="310" t="e">
        <f t="shared" ca="1" si="112"/>
        <v>#N/A</v>
      </c>
      <c r="AD241" s="323" t="e">
        <f t="shared" ca="1" si="113"/>
        <v>#N/A</v>
      </c>
      <c r="AE241" s="324">
        <f t="shared" ca="1" si="92"/>
        <v>220.21124692664611</v>
      </c>
      <c r="AG241" s="306">
        <f t="shared" ca="1" si="114"/>
        <v>47.639666534467828</v>
      </c>
      <c r="AH241" s="304">
        <f t="shared" ca="1" si="115"/>
        <v>57.389925395535002</v>
      </c>
    </row>
    <row r="242" spans="1:34" x14ac:dyDescent="0.2">
      <c r="A242" s="347">
        <f t="shared" ca="1" si="93"/>
        <v>0.01</v>
      </c>
      <c r="B242" s="304">
        <f t="shared" ca="1" si="94"/>
        <v>2.3799999999999932</v>
      </c>
      <c r="D242" s="306">
        <f t="shared" ca="1" si="95"/>
        <v>6.3016817278325252</v>
      </c>
      <c r="E242" s="307">
        <f t="shared" ca="1" si="96"/>
        <v>46.996411111975732</v>
      </c>
      <c r="F242" s="304">
        <f t="shared" ca="1" si="97"/>
        <v>47.417020678283173</v>
      </c>
      <c r="G242" s="306">
        <f t="shared" ca="1" si="98"/>
        <v>18.871293923190759</v>
      </c>
      <c r="H242" s="307">
        <f t="shared" ca="1" si="99"/>
        <v>170.01688312918179</v>
      </c>
      <c r="I242" s="304">
        <f t="shared" ca="1" si="100"/>
        <v>171.06100164355789</v>
      </c>
      <c r="J242" s="306">
        <f t="shared" ca="1" si="101"/>
        <v>23.141254073128092</v>
      </c>
      <c r="K242" s="307">
        <f t="shared" ca="1" si="102"/>
        <v>221.90906593738234</v>
      </c>
      <c r="L242" s="304">
        <f t="shared" ca="1" si="87"/>
        <v>223.11241826773912</v>
      </c>
      <c r="M242" s="306">
        <f t="shared" ca="1" si="103"/>
        <v>1.4602522335683141</v>
      </c>
      <c r="N242" s="304">
        <f t="shared" ca="1" si="104"/>
        <v>83.666290008016119</v>
      </c>
      <c r="P242" s="310">
        <f t="shared" ca="1" si="105"/>
        <v>6</v>
      </c>
      <c r="Q242" s="304">
        <f t="shared" ca="1" si="106"/>
        <v>531.25000000000102</v>
      </c>
      <c r="R242" s="306">
        <f t="shared" ca="1" si="107"/>
        <v>0.26660962314841402</v>
      </c>
      <c r="S242" s="307">
        <f t="shared" ca="1" si="108"/>
        <v>7.6819540556848365</v>
      </c>
      <c r="T242" s="304">
        <f t="shared" ca="1" si="88"/>
        <v>75.359969286268253</v>
      </c>
      <c r="U242" s="311">
        <f t="shared" ca="1" si="89"/>
        <v>0</v>
      </c>
      <c r="V242" s="306">
        <f t="shared" ca="1" si="90"/>
        <v>1.1981144468223142</v>
      </c>
      <c r="W242" s="304">
        <f t="shared" ca="1" si="91"/>
        <v>92.68623260632998</v>
      </c>
      <c r="Y242" s="314" t="str">
        <f t="shared" ca="1" si="109"/>
        <v/>
      </c>
      <c r="Z242" s="315" t="str">
        <f t="shared" ca="1" si="110"/>
        <v/>
      </c>
      <c r="AA242" s="316" t="str">
        <f t="shared" ca="1" si="111"/>
        <v/>
      </c>
      <c r="AC242" s="310" t="e">
        <f t="shared" ca="1" si="112"/>
        <v>#N/A</v>
      </c>
      <c r="AD242" s="323" t="e">
        <f t="shared" ca="1" si="113"/>
        <v>#N/A</v>
      </c>
      <c r="AE242" s="324">
        <f t="shared" ca="1" si="92"/>
        <v>221.90906593738234</v>
      </c>
      <c r="AG242" s="306">
        <f t="shared" ca="1" si="114"/>
        <v>47.404682908590509</v>
      </c>
      <c r="AH242" s="304">
        <f t="shared" ca="1" si="115"/>
        <v>57.15487324823404</v>
      </c>
    </row>
    <row r="243" spans="1:34" x14ac:dyDescent="0.2">
      <c r="A243" s="347">
        <f t="shared" ca="1" si="93"/>
        <v>0.01</v>
      </c>
      <c r="B243" s="304">
        <f t="shared" ca="1" si="94"/>
        <v>2.389999999999993</v>
      </c>
      <c r="D243" s="306">
        <f t="shared" ca="1" si="95"/>
        <v>6.279337851660741</v>
      </c>
      <c r="E243" s="307">
        <f t="shared" ca="1" si="96"/>
        <v>46.76235025853191</v>
      </c>
      <c r="F243" s="304">
        <f t="shared" ca="1" si="97"/>
        <v>47.182067415035121</v>
      </c>
      <c r="G243" s="306">
        <f t="shared" ca="1" si="98"/>
        <v>18.934087301707365</v>
      </c>
      <c r="H243" s="307">
        <f t="shared" ca="1" si="99"/>
        <v>170.48450663176712</v>
      </c>
      <c r="I243" s="304">
        <f t="shared" ca="1" si="100"/>
        <v>171.53269852545819</v>
      </c>
      <c r="J243" s="306">
        <f t="shared" ca="1" si="101"/>
        <v>23.330280979252581</v>
      </c>
      <c r="K243" s="307">
        <f t="shared" ca="1" si="102"/>
        <v>223.61157288618708</v>
      </c>
      <c r="L243" s="304">
        <f t="shared" ca="1" si="87"/>
        <v>224.82534896938432</v>
      </c>
      <c r="M243" s="306">
        <f t="shared" ca="1" si="103"/>
        <v>1.4601891417918502</v>
      </c>
      <c r="N243" s="304">
        <f t="shared" ca="1" si="104"/>
        <v>83.662675115502751</v>
      </c>
      <c r="P243" s="310">
        <f t="shared" ca="1" si="105"/>
        <v>6</v>
      </c>
      <c r="Q243" s="304">
        <f t="shared" ca="1" si="106"/>
        <v>529.79000000000099</v>
      </c>
      <c r="R243" s="306">
        <f t="shared" ca="1" si="107"/>
        <v>0.26587691717232614</v>
      </c>
      <c r="S243" s="307">
        <f t="shared" ca="1" si="108"/>
        <v>7.6792952865131134</v>
      </c>
      <c r="T243" s="304">
        <f t="shared" ca="1" si="88"/>
        <v>75.333886760693645</v>
      </c>
      <c r="U243" s="311">
        <f t="shared" ca="1" si="89"/>
        <v>0</v>
      </c>
      <c r="V243" s="306">
        <f t="shared" ca="1" si="90"/>
        <v>1.1979104590643117</v>
      </c>
      <c r="W243" s="304">
        <f t="shared" ca="1" si="91"/>
        <v>93.182230126682157</v>
      </c>
      <c r="Y243" s="314" t="str">
        <f t="shared" ca="1" si="109"/>
        <v/>
      </c>
      <c r="Z243" s="315" t="str">
        <f t="shared" ca="1" si="110"/>
        <v/>
      </c>
      <c r="AA243" s="316" t="str">
        <f t="shared" ca="1" si="111"/>
        <v/>
      </c>
      <c r="AC243" s="310" t="e">
        <f t="shared" ca="1" si="112"/>
        <v>#N/A</v>
      </c>
      <c r="AD243" s="323" t="e">
        <f t="shared" ca="1" si="113"/>
        <v>#N/A</v>
      </c>
      <c r="AE243" s="324">
        <f t="shared" ca="1" si="92"/>
        <v>223.61157288618708</v>
      </c>
      <c r="AG243" s="306">
        <f t="shared" ca="1" si="114"/>
        <v>47.16965405011274</v>
      </c>
      <c r="AH243" s="304">
        <f t="shared" ca="1" si="115"/>
        <v>56.919775980139939</v>
      </c>
    </row>
    <row r="244" spans="1:34" x14ac:dyDescent="0.2">
      <c r="A244" s="347">
        <f t="shared" ca="1" si="93"/>
        <v>0.01</v>
      </c>
      <c r="B244" s="304">
        <f t="shared" ca="1" si="94"/>
        <v>2.3999999999999928</v>
      </c>
      <c r="D244" s="306">
        <f t="shared" ca="1" si="95"/>
        <v>6.2569520288652924</v>
      </c>
      <c r="E244" s="307">
        <f t="shared" ca="1" si="96"/>
        <v>46.528251887300804</v>
      </c>
      <c r="F244" s="304">
        <f t="shared" ca="1" si="97"/>
        <v>46.947073097048687</v>
      </c>
      <c r="G244" s="306">
        <f t="shared" ca="1" si="98"/>
        <v>18.996656821996019</v>
      </c>
      <c r="H244" s="307">
        <f t="shared" ca="1" si="99"/>
        <v>170.94978915064013</v>
      </c>
      <c r="I244" s="304">
        <f t="shared" ca="1" si="100"/>
        <v>172.00204470023317</v>
      </c>
      <c r="J244" s="306">
        <f t="shared" ca="1" si="101"/>
        <v>23.519934699871097</v>
      </c>
      <c r="K244" s="307">
        <f t="shared" ca="1" si="102"/>
        <v>225.31874436509912</v>
      </c>
      <c r="L244" s="304">
        <f t="shared" ca="1" si="87"/>
        <v>226.54298464210075</v>
      </c>
      <c r="M244" s="306">
        <f t="shared" ca="1" si="103"/>
        <v>1.4601261864113253</v>
      </c>
      <c r="N244" s="304">
        <f t="shared" ca="1" si="104"/>
        <v>83.659068037901037</v>
      </c>
      <c r="P244" s="310">
        <f t="shared" ca="1" si="105"/>
        <v>6</v>
      </c>
      <c r="Q244" s="304">
        <f t="shared" ca="1" si="106"/>
        <v>528.33000000000106</v>
      </c>
      <c r="R244" s="306">
        <f t="shared" ca="1" si="107"/>
        <v>0.26514421119623832</v>
      </c>
      <c r="S244" s="307">
        <f t="shared" ca="1" si="108"/>
        <v>7.6766438444011511</v>
      </c>
      <c r="T244" s="304">
        <f t="shared" ca="1" si="88"/>
        <v>75.30787611357529</v>
      </c>
      <c r="U244" s="311">
        <f t="shared" ca="1" si="89"/>
        <v>0</v>
      </c>
      <c r="V244" s="306">
        <f t="shared" ca="1" si="90"/>
        <v>1.1977059469038878</v>
      </c>
      <c r="W244" s="304">
        <f t="shared" ca="1" si="91"/>
        <v>93.676860834404721</v>
      </c>
      <c r="Y244" s="314" t="str">
        <f t="shared" ca="1" si="109"/>
        <v/>
      </c>
      <c r="Z244" s="315" t="str">
        <f t="shared" ca="1" si="110"/>
        <v/>
      </c>
      <c r="AA244" s="316" t="str">
        <f t="shared" ca="1" si="111"/>
        <v/>
      </c>
      <c r="AC244" s="310" t="e">
        <f t="shared" ca="1" si="112"/>
        <v>#N/A</v>
      </c>
      <c r="AD244" s="323" t="e">
        <f t="shared" ca="1" si="113"/>
        <v>#N/A</v>
      </c>
      <c r="AE244" s="324">
        <f t="shared" ca="1" si="92"/>
        <v>225.31874436509912</v>
      </c>
      <c r="AG244" s="306">
        <f t="shared" ca="1" si="114"/>
        <v>46.934583392024969</v>
      </c>
      <c r="AH244" s="304">
        <f t="shared" ca="1" si="115"/>
        <v>56.684637022816631</v>
      </c>
    </row>
    <row r="245" spans="1:34" x14ac:dyDescent="0.2">
      <c r="A245" s="347">
        <f t="shared" ca="1" si="93"/>
        <v>0.01</v>
      </c>
      <c r="B245" s="304">
        <f t="shared" ca="1" si="94"/>
        <v>2.4099999999999926</v>
      </c>
      <c r="D245" s="306">
        <f t="shared" ca="1" si="95"/>
        <v>6.2345248123319053</v>
      </c>
      <c r="E245" s="307">
        <f t="shared" ca="1" si="96"/>
        <v>46.294119377916289</v>
      </c>
      <c r="F245" s="304">
        <f t="shared" ca="1" si="97"/>
        <v>46.712041152280491</v>
      </c>
      <c r="G245" s="306">
        <f t="shared" ca="1" si="98"/>
        <v>19.059002070119337</v>
      </c>
      <c r="H245" s="307">
        <f t="shared" ca="1" si="99"/>
        <v>171.41273034441929</v>
      </c>
      <c r="I245" s="304">
        <f t="shared" ca="1" si="100"/>
        <v>172.46903978406505</v>
      </c>
      <c r="J245" s="306">
        <f t="shared" ca="1" si="101"/>
        <v>23.710212994331673</v>
      </c>
      <c r="K245" s="307">
        <f t="shared" ca="1" si="102"/>
        <v>227.03055696257442</v>
      </c>
      <c r="L245" s="304">
        <f t="shared" ca="1" si="87"/>
        <v>228.26530177618613</v>
      </c>
      <c r="M245" s="306">
        <f t="shared" ca="1" si="103"/>
        <v>1.4600633659053923</v>
      </c>
      <c r="N245" s="304">
        <f t="shared" ca="1" si="104"/>
        <v>83.655468688044195</v>
      </c>
      <c r="P245" s="310">
        <f t="shared" ca="1" si="105"/>
        <v>6</v>
      </c>
      <c r="Q245" s="304">
        <f t="shared" ca="1" si="106"/>
        <v>526.87000000000103</v>
      </c>
      <c r="R245" s="306">
        <f t="shared" ca="1" si="107"/>
        <v>0.26441150522015039</v>
      </c>
      <c r="S245" s="307">
        <f t="shared" ca="1" si="108"/>
        <v>7.6739997293489495</v>
      </c>
      <c r="T245" s="304">
        <f t="shared" ca="1" si="88"/>
        <v>75.281937344913203</v>
      </c>
      <c r="U245" s="311">
        <f t="shared" ca="1" si="89"/>
        <v>0</v>
      </c>
      <c r="V245" s="306">
        <f t="shared" ca="1" si="90"/>
        <v>1.1975009134192047</v>
      </c>
      <c r="W245" s="304">
        <f t="shared" ca="1" si="91"/>
        <v>94.17010351446082</v>
      </c>
      <c r="Y245" s="314" t="str">
        <f t="shared" ca="1" si="109"/>
        <v/>
      </c>
      <c r="Z245" s="315" t="str">
        <f t="shared" ca="1" si="110"/>
        <v/>
      </c>
      <c r="AA245" s="316" t="str">
        <f t="shared" ca="1" si="111"/>
        <v/>
      </c>
      <c r="AC245" s="310" t="e">
        <f t="shared" ca="1" si="112"/>
        <v>#N/A</v>
      </c>
      <c r="AD245" s="323" t="e">
        <f t="shared" ca="1" si="113"/>
        <v>#N/A</v>
      </c>
      <c r="AE245" s="324">
        <f t="shared" ca="1" si="92"/>
        <v>227.03055696257442</v>
      </c>
      <c r="AG245" s="306">
        <f t="shared" ca="1" si="114"/>
        <v>46.699474351461319</v>
      </c>
      <c r="AH245" s="304">
        <f t="shared" ca="1" si="115"/>
        <v>56.449459791986179</v>
      </c>
    </row>
    <row r="246" spans="1:34" x14ac:dyDescent="0.2">
      <c r="A246" s="347">
        <f t="shared" ca="1" si="93"/>
        <v>0.01</v>
      </c>
      <c r="B246" s="304">
        <f t="shared" ca="1" si="94"/>
        <v>2.4199999999999924</v>
      </c>
      <c r="D246" s="306">
        <f t="shared" ca="1" si="95"/>
        <v>6.2120567516709944</v>
      </c>
      <c r="E246" s="307">
        <f t="shared" ca="1" si="96"/>
        <v>46.059956094282668</v>
      </c>
      <c r="F246" s="304">
        <f t="shared" ca="1" si="97"/>
        <v>46.476974992927715</v>
      </c>
      <c r="G246" s="306">
        <f t="shared" ca="1" si="98"/>
        <v>19.121122637636049</v>
      </c>
      <c r="H246" s="307">
        <f t="shared" ca="1" si="99"/>
        <v>171.87332990536211</v>
      </c>
      <c r="I246" s="304">
        <f t="shared" ca="1" si="100"/>
        <v>172.93368342714777</v>
      </c>
      <c r="J246" s="306">
        <f t="shared" ca="1" si="101"/>
        <v>23.90111361787045</v>
      </c>
      <c r="K246" s="307">
        <f t="shared" ca="1" si="102"/>
        <v>228.74698726382334</v>
      </c>
      <c r="L246" s="304">
        <f t="shared" ca="1" si="87"/>
        <v>229.99227685826781</v>
      </c>
      <c r="M246" s="306">
        <f t="shared" ca="1" si="103"/>
        <v>1.4600006787695436</v>
      </c>
      <c r="N246" s="304">
        <f t="shared" ca="1" si="104"/>
        <v>83.651876979730304</v>
      </c>
      <c r="P246" s="310">
        <f t="shared" ca="1" si="105"/>
        <v>6</v>
      </c>
      <c r="Q246" s="304">
        <f t="shared" ca="1" si="106"/>
        <v>525.41000000000111</v>
      </c>
      <c r="R246" s="306">
        <f t="shared" ca="1" si="107"/>
        <v>0.26367879924406257</v>
      </c>
      <c r="S246" s="307">
        <f t="shared" ca="1" si="108"/>
        <v>7.6713629413565085</v>
      </c>
      <c r="T246" s="304">
        <f t="shared" ca="1" si="88"/>
        <v>75.256070454707356</v>
      </c>
      <c r="U246" s="311">
        <f t="shared" ca="1" si="89"/>
        <v>0</v>
      </c>
      <c r="V246" s="306">
        <f t="shared" ca="1" si="90"/>
        <v>1.1972953616875421</v>
      </c>
      <c r="W246" s="304">
        <f t="shared" ca="1" si="91"/>
        <v>94.661937112335565</v>
      </c>
      <c r="Y246" s="314" t="str">
        <f t="shared" ca="1" si="109"/>
        <v/>
      </c>
      <c r="Z246" s="315" t="str">
        <f t="shared" ca="1" si="110"/>
        <v/>
      </c>
      <c r="AA246" s="316" t="str">
        <f t="shared" ca="1" si="111"/>
        <v/>
      </c>
      <c r="AC246" s="310" t="e">
        <f t="shared" ca="1" si="112"/>
        <v>#N/A</v>
      </c>
      <c r="AD246" s="323" t="e">
        <f t="shared" ca="1" si="113"/>
        <v>#N/A</v>
      </c>
      <c r="AE246" s="324">
        <f t="shared" ca="1" si="92"/>
        <v>228.74698726382334</v>
      </c>
      <c r="AG246" s="306">
        <f t="shared" ca="1" si="114"/>
        <v>46.464330329595015</v>
      </c>
      <c r="AH246" s="304">
        <f t="shared" ca="1" si="115"/>
        <v>56.214247687423999</v>
      </c>
    </row>
    <row r="247" spans="1:34" x14ac:dyDescent="0.2">
      <c r="A247" s="347">
        <f t="shared" ca="1" si="93"/>
        <v>0.01</v>
      </c>
      <c r="B247" s="304">
        <f t="shared" ca="1" si="94"/>
        <v>2.4299999999999922</v>
      </c>
      <c r="D247" s="306">
        <f t="shared" ca="1" si="95"/>
        <v>6.1895483932321795</v>
      </c>
      <c r="E247" s="307">
        <f t="shared" ca="1" si="96"/>
        <v>45.825765384470081</v>
      </c>
      <c r="F247" s="304">
        <f t="shared" ca="1" si="97"/>
        <v>46.241878015329995</v>
      </c>
      <c r="G247" s="306">
        <f t="shared" ca="1" si="98"/>
        <v>19.18301812156837</v>
      </c>
      <c r="H247" s="307">
        <f t="shared" ca="1" si="99"/>
        <v>172.33158755920681</v>
      </c>
      <c r="I247" s="304">
        <f t="shared" ca="1" si="100"/>
        <v>173.39597531352618</v>
      </c>
      <c r="J247" s="306">
        <f t="shared" ca="1" si="101"/>
        <v>24.092634321666473</v>
      </c>
      <c r="K247" s="307">
        <f t="shared" ca="1" si="102"/>
        <v>230.46801185114617</v>
      </c>
      <c r="L247" s="304">
        <f t="shared" ca="1" si="87"/>
        <v>231.72388637164187</v>
      </c>
      <c r="M247" s="306">
        <f t="shared" ca="1" si="103"/>
        <v>1.4599381235158313</v>
      </c>
      <c r="N247" s="304">
        <f t="shared" ca="1" si="104"/>
        <v>83.648292827706214</v>
      </c>
      <c r="P247" s="310">
        <f t="shared" ca="1" si="105"/>
        <v>6</v>
      </c>
      <c r="Q247" s="304">
        <f t="shared" ca="1" si="106"/>
        <v>523.95000000000118</v>
      </c>
      <c r="R247" s="306">
        <f t="shared" ca="1" si="107"/>
        <v>0.26294609326797475</v>
      </c>
      <c r="S247" s="307">
        <f t="shared" ca="1" si="108"/>
        <v>7.6687334804238292</v>
      </c>
      <c r="T247" s="304">
        <f t="shared" ca="1" si="88"/>
        <v>75.230275442957762</v>
      </c>
      <c r="U247" s="311">
        <f t="shared" ca="1" si="89"/>
        <v>0</v>
      </c>
      <c r="V247" s="306">
        <f t="shared" ca="1" si="90"/>
        <v>1.1970892947852452</v>
      </c>
      <c r="W247" s="304">
        <f t="shared" ca="1" si="91"/>
        <v>95.152340734352308</v>
      </c>
      <c r="Y247" s="314" t="str">
        <f t="shared" ca="1" si="109"/>
        <v/>
      </c>
      <c r="Z247" s="315" t="str">
        <f t="shared" ca="1" si="110"/>
        <v/>
      </c>
      <c r="AA247" s="316" t="str">
        <f t="shared" ca="1" si="111"/>
        <v/>
      </c>
      <c r="AC247" s="310" t="e">
        <f t="shared" ca="1" si="112"/>
        <v>#N/A</v>
      </c>
      <c r="AD247" s="323" t="e">
        <f t="shared" ca="1" si="113"/>
        <v>#N/A</v>
      </c>
      <c r="AE247" s="324">
        <f t="shared" ca="1" si="92"/>
        <v>230.46801185114617</v>
      </c>
      <c r="AG247" s="306">
        <f t="shared" ca="1" si="114"/>
        <v>46.229154711535557</v>
      </c>
      <c r="AH247" s="304">
        <f t="shared" ca="1" si="115"/>
        <v>55.979004092855767</v>
      </c>
    </row>
    <row r="248" spans="1:34" x14ac:dyDescent="0.2">
      <c r="A248" s="347">
        <f t="shared" ca="1" si="93"/>
        <v>0.01</v>
      </c>
      <c r="B248" s="304">
        <f t="shared" ca="1" si="94"/>
        <v>2.439999999999992</v>
      </c>
      <c r="D248" s="306">
        <f t="shared" ca="1" si="95"/>
        <v>6.1670002801183363</v>
      </c>
      <c r="E248" s="307">
        <f t="shared" ca="1" si="96"/>
        <v>45.591550580611937</v>
      </c>
      <c r="F248" s="304">
        <f t="shared" ca="1" si="97"/>
        <v>46.006753599873534</v>
      </c>
      <c r="G248" s="306">
        <f t="shared" ca="1" si="98"/>
        <v>19.244688124369553</v>
      </c>
      <c r="H248" s="307">
        <f t="shared" ca="1" si="99"/>
        <v>172.78750306501294</v>
      </c>
      <c r="I248" s="304">
        <f t="shared" ca="1" si="100"/>
        <v>173.85591516093464</v>
      </c>
      <c r="J248" s="306">
        <f t="shared" ca="1" si="101"/>
        <v>24.284772852896165</v>
      </c>
      <c r="K248" s="307">
        <f t="shared" ca="1" si="102"/>
        <v>232.19360730426726</v>
      </c>
      <c r="L248" s="304">
        <f t="shared" ca="1" si="87"/>
        <v>233.46010679661103</v>
      </c>
      <c r="M248" s="306">
        <f t="shared" ca="1" si="103"/>
        <v>1.4598756986725918</v>
      </c>
      <c r="N248" s="304">
        <f t="shared" ca="1" si="104"/>
        <v>83.644716147651835</v>
      </c>
      <c r="P248" s="310">
        <f t="shared" ca="1" si="105"/>
        <v>6</v>
      </c>
      <c r="Q248" s="304">
        <f t="shared" ca="1" si="106"/>
        <v>522.49000000000115</v>
      </c>
      <c r="R248" s="306">
        <f t="shared" ca="1" si="107"/>
        <v>0.26221338729188687</v>
      </c>
      <c r="S248" s="307">
        <f t="shared" ca="1" si="108"/>
        <v>7.6661113465509105</v>
      </c>
      <c r="T248" s="304">
        <f t="shared" ca="1" si="88"/>
        <v>75.204552309664436</v>
      </c>
      <c r="U248" s="311">
        <f t="shared" ca="1" si="89"/>
        <v>0</v>
      </c>
      <c r="V248" s="306">
        <f t="shared" ca="1" si="90"/>
        <v>1.1968827157876702</v>
      </c>
      <c r="W248" s="304">
        <f t="shared" ca="1" si="91"/>
        <v>95.641293647974933</v>
      </c>
      <c r="Y248" s="314" t="str">
        <f t="shared" ca="1" si="109"/>
        <v/>
      </c>
      <c r="Z248" s="315" t="str">
        <f t="shared" ca="1" si="110"/>
        <v/>
      </c>
      <c r="AA248" s="316" t="str">
        <f t="shared" ca="1" si="111"/>
        <v/>
      </c>
      <c r="AC248" s="310" t="e">
        <f t="shared" ca="1" si="112"/>
        <v>#N/A</v>
      </c>
      <c r="AD248" s="323" t="e">
        <f t="shared" ca="1" si="113"/>
        <v>#N/A</v>
      </c>
      <c r="AE248" s="324">
        <f t="shared" ca="1" si="92"/>
        <v>232.19360730426726</v>
      </c>
      <c r="AG248" s="306">
        <f t="shared" ca="1" si="114"/>
        <v>45.993950866227728</v>
      </c>
      <c r="AH248" s="304">
        <f t="shared" ca="1" si="115"/>
        <v>55.743732375856233</v>
      </c>
    </row>
    <row r="249" spans="1:34" x14ac:dyDescent="0.2">
      <c r="A249" s="347">
        <f t="shared" ca="1" si="93"/>
        <v>0.01</v>
      </c>
      <c r="B249" s="304">
        <f t="shared" ca="1" si="94"/>
        <v>2.4499999999999917</v>
      </c>
      <c r="D249" s="306">
        <f t="shared" ca="1" si="95"/>
        <v>6.1444129521993016</v>
      </c>
      <c r="E249" s="307">
        <f t="shared" ca="1" si="96"/>
        <v>45.357314998804213</v>
      </c>
      <c r="F249" s="304">
        <f t="shared" ca="1" si="97"/>
        <v>45.771605110897127</v>
      </c>
      <c r="G249" s="306">
        <f t="shared" ca="1" si="98"/>
        <v>19.306132253891548</v>
      </c>
      <c r="H249" s="307">
        <f t="shared" ca="1" si="99"/>
        <v>173.24107621500099</v>
      </c>
      <c r="I249" s="304">
        <f t="shared" ca="1" si="100"/>
        <v>174.31350272063415</v>
      </c>
      <c r="J249" s="306">
        <f t="shared" ca="1" si="101"/>
        <v>24.477526954787471</v>
      </c>
      <c r="K249" s="307">
        <f t="shared" ca="1" si="102"/>
        <v>233.92375020066734</v>
      </c>
      <c r="L249" s="304">
        <f t="shared" ca="1" si="87"/>
        <v>235.20091461082069</v>
      </c>
      <c r="M249" s="306">
        <f t="shared" ca="1" si="103"/>
        <v>1.4598134027841763</v>
      </c>
      <c r="N249" s="304">
        <f t="shared" ca="1" si="104"/>
        <v>83.641146856164596</v>
      </c>
      <c r="P249" s="310">
        <f t="shared" ca="1" si="105"/>
        <v>6</v>
      </c>
      <c r="Q249" s="304">
        <f t="shared" ca="1" si="106"/>
        <v>521.03000000000122</v>
      </c>
      <c r="R249" s="306">
        <f t="shared" ca="1" si="107"/>
        <v>0.26148068131579899</v>
      </c>
      <c r="S249" s="307">
        <f t="shared" ca="1" si="108"/>
        <v>7.6634965397377526</v>
      </c>
      <c r="T249" s="304">
        <f t="shared" ca="1" si="88"/>
        <v>75.17890105482735</v>
      </c>
      <c r="U249" s="311">
        <f t="shared" ca="1" si="89"/>
        <v>0</v>
      </c>
      <c r="V249" s="306">
        <f t="shared" ca="1" si="90"/>
        <v>1.1966756277691344</v>
      </c>
      <c r="W249" s="304">
        <f t="shared" ca="1" si="91"/>
        <v>96.128775282096186</v>
      </c>
      <c r="Y249" s="314" t="str">
        <f t="shared" ca="1" si="109"/>
        <v/>
      </c>
      <c r="Z249" s="315" t="str">
        <f t="shared" ca="1" si="110"/>
        <v/>
      </c>
      <c r="AA249" s="316" t="str">
        <f t="shared" ca="1" si="111"/>
        <v/>
      </c>
      <c r="AC249" s="310" t="e">
        <f t="shared" ca="1" si="112"/>
        <v>#N/A</v>
      </c>
      <c r="AD249" s="323" t="e">
        <f t="shared" ca="1" si="113"/>
        <v>#N/A</v>
      </c>
      <c r="AE249" s="324">
        <f t="shared" ca="1" si="92"/>
        <v>233.92375020066734</v>
      </c>
      <c r="AG249" s="306">
        <f t="shared" ca="1" si="114"/>
        <v>45.758722146352561</v>
      </c>
      <c r="AH249" s="304">
        <f t="shared" ca="1" si="115"/>
        <v>55.508435887749911</v>
      </c>
    </row>
    <row r="250" spans="1:34" x14ac:dyDescent="0.2">
      <c r="A250" s="347">
        <f t="shared" ca="1" si="93"/>
        <v>0.01</v>
      </c>
      <c r="B250" s="304">
        <f t="shared" ca="1" si="94"/>
        <v>2.4599999999999915</v>
      </c>
      <c r="D250" s="306">
        <f t="shared" ca="1" si="95"/>
        <v>6.121786946125205</v>
      </c>
      <c r="E250" s="307">
        <f t="shared" ca="1" si="96"/>
        <v>45.123061939006504</v>
      </c>
      <c r="F250" s="304">
        <f t="shared" ca="1" si="97"/>
        <v>45.536435896600061</v>
      </c>
      <c r="G250" s="306">
        <f t="shared" ca="1" si="98"/>
        <v>19.3673501233528</v>
      </c>
      <c r="H250" s="307">
        <f t="shared" ca="1" si="99"/>
        <v>173.69230683439105</v>
      </c>
      <c r="I250" s="304">
        <f t="shared" ca="1" si="100"/>
        <v>174.7687377772489</v>
      </c>
      <c r="J250" s="306">
        <f t="shared" ca="1" si="101"/>
        <v>24.670894366673693</v>
      </c>
      <c r="K250" s="307">
        <f t="shared" ca="1" si="102"/>
        <v>235.65841711591429</v>
      </c>
      <c r="L250" s="304">
        <f t="shared" ca="1" si="87"/>
        <v>236.9462862895931</v>
      </c>
      <c r="M250" s="306">
        <f t="shared" ca="1" si="103"/>
        <v>1.4597512344106862</v>
      </c>
      <c r="N250" s="304">
        <f t="shared" ca="1" si="104"/>
        <v>83.637584870744433</v>
      </c>
      <c r="P250" s="310">
        <f t="shared" ca="1" si="105"/>
        <v>6</v>
      </c>
      <c r="Q250" s="304">
        <f t="shared" ca="1" si="106"/>
        <v>519.57000000000119</v>
      </c>
      <c r="R250" s="306">
        <f t="shared" ca="1" si="107"/>
        <v>0.26074797533971111</v>
      </c>
      <c r="S250" s="307">
        <f t="shared" ca="1" si="108"/>
        <v>7.6608890599843553</v>
      </c>
      <c r="T250" s="304">
        <f t="shared" ca="1" si="88"/>
        <v>75.153321678446531</v>
      </c>
      <c r="U250" s="311">
        <f t="shared" ca="1" si="89"/>
        <v>0</v>
      </c>
      <c r="V250" s="306">
        <f t="shared" ca="1" si="90"/>
        <v>1.1964680338028615</v>
      </c>
      <c r="W250" s="304">
        <f t="shared" ca="1" si="91"/>
        <v>96.614765227312262</v>
      </c>
      <c r="Y250" s="314" t="str">
        <f t="shared" ca="1" si="109"/>
        <v/>
      </c>
      <c r="Z250" s="315" t="str">
        <f t="shared" ca="1" si="110"/>
        <v/>
      </c>
      <c r="AA250" s="316" t="str">
        <f t="shared" ca="1" si="111"/>
        <v/>
      </c>
      <c r="AC250" s="310" t="e">
        <f t="shared" ca="1" si="112"/>
        <v>#N/A</v>
      </c>
      <c r="AD250" s="323" t="e">
        <f t="shared" ca="1" si="113"/>
        <v>#N/A</v>
      </c>
      <c r="AE250" s="324">
        <f t="shared" ca="1" si="92"/>
        <v>235.65841711591429</v>
      </c>
      <c r="AG250" s="306">
        <f t="shared" ca="1" si="114"/>
        <v>45.523471888229906</v>
      </c>
      <c r="AH250" s="304">
        <f t="shared" ca="1" si="115"/>
        <v>55.273117963513457</v>
      </c>
    </row>
    <row r="251" spans="1:34" x14ac:dyDescent="0.2">
      <c r="A251" s="347">
        <f t="shared" ca="1" si="93"/>
        <v>0.01</v>
      </c>
      <c r="B251" s="304">
        <f t="shared" ca="1" si="94"/>
        <v>2.4699999999999913</v>
      </c>
      <c r="D251" s="306">
        <f t="shared" ca="1" si="95"/>
        <v>6.0991227953394196</v>
      </c>
      <c r="E251" s="307">
        <f t="shared" ca="1" si="96"/>
        <v>44.888794684945267</v>
      </c>
      <c r="F251" s="304">
        <f t="shared" ca="1" si="97"/>
        <v>45.301249288952278</v>
      </c>
      <c r="G251" s="306">
        <f t="shared" ca="1" si="98"/>
        <v>19.428341351306194</v>
      </c>
      <c r="H251" s="307">
        <f t="shared" ca="1" si="99"/>
        <v>174.1411947812405</v>
      </c>
      <c r="I251" s="304">
        <f t="shared" ca="1" si="100"/>
        <v>175.22162014860157</v>
      </c>
      <c r="J251" s="306">
        <f t="shared" ca="1" si="101"/>
        <v>24.864872824046987</v>
      </c>
      <c r="K251" s="307">
        <f t="shared" ca="1" si="102"/>
        <v>237.39758462399246</v>
      </c>
      <c r="L251" s="304">
        <f t="shared" ca="1" si="87"/>
        <v>238.69619830626061</v>
      </c>
      <c r="M251" s="306">
        <f t="shared" ca="1" si="103"/>
        <v>1.4596891921277151</v>
      </c>
      <c r="N251" s="304">
        <f t="shared" ca="1" si="104"/>
        <v>83.63403010977882</v>
      </c>
      <c r="P251" s="310">
        <f t="shared" ca="1" si="105"/>
        <v>6</v>
      </c>
      <c r="Q251" s="304">
        <f t="shared" ca="1" si="106"/>
        <v>518.11000000000126</v>
      </c>
      <c r="R251" s="306">
        <f t="shared" ca="1" si="107"/>
        <v>0.26001526936362329</v>
      </c>
      <c r="S251" s="307">
        <f t="shared" ca="1" si="108"/>
        <v>7.6582889072907188</v>
      </c>
      <c r="T251" s="304">
        <f t="shared" ca="1" si="88"/>
        <v>75.127814180521952</v>
      </c>
      <c r="U251" s="311">
        <f t="shared" ca="1" si="89"/>
        <v>0</v>
      </c>
      <c r="V251" s="306">
        <f t="shared" ca="1" si="90"/>
        <v>1.1962599369609319</v>
      </c>
      <c r="W251" s="304">
        <f t="shared" ca="1" si="91"/>
        <v>97.099243236183554</v>
      </c>
      <c r="Y251" s="314" t="str">
        <f t="shared" ca="1" si="109"/>
        <v/>
      </c>
      <c r="Z251" s="315" t="str">
        <f t="shared" ca="1" si="110"/>
        <v/>
      </c>
      <c r="AA251" s="316" t="str">
        <f t="shared" ca="1" si="111"/>
        <v/>
      </c>
      <c r="AC251" s="310" t="e">
        <f t="shared" ca="1" si="112"/>
        <v>#N/A</v>
      </c>
      <c r="AD251" s="323" t="e">
        <f t="shared" ca="1" si="113"/>
        <v>#N/A</v>
      </c>
      <c r="AE251" s="324">
        <f t="shared" ca="1" si="92"/>
        <v>237.39758462399246</v>
      </c>
      <c r="AG251" s="306">
        <f t="shared" ca="1" si="114"/>
        <v>45.288203411723181</v>
      </c>
      <c r="AH251" s="304">
        <f t="shared" ca="1" si="115"/>
        <v>55.037781921680185</v>
      </c>
    </row>
    <row r="252" spans="1:34" x14ac:dyDescent="0.2">
      <c r="A252" s="347">
        <f t="shared" ca="1" si="93"/>
        <v>0.01</v>
      </c>
      <c r="B252" s="304">
        <f t="shared" ca="1" si="94"/>
        <v>2.4799999999999911</v>
      </c>
      <c r="D252" s="306">
        <f t="shared" ca="1" si="95"/>
        <v>6.0764210300911126</v>
      </c>
      <c r="E252" s="307">
        <f t="shared" ca="1" si="96"/>
        <v>44.654516504018517</v>
      </c>
      <c r="F252" s="304">
        <f t="shared" ca="1" si="97"/>
        <v>45.066048603606191</v>
      </c>
      <c r="G252" s="306">
        <f t="shared" ca="1" si="98"/>
        <v>19.489105561607104</v>
      </c>
      <c r="H252" s="307">
        <f t="shared" ca="1" si="99"/>
        <v>174.58773994628069</v>
      </c>
      <c r="I252" s="304">
        <f t="shared" ca="1" si="100"/>
        <v>175.67214968554805</v>
      </c>
      <c r="J252" s="306">
        <f t="shared" ca="1" si="101"/>
        <v>25.059460058611553</v>
      </c>
      <c r="K252" s="307">
        <f t="shared" ca="1" si="102"/>
        <v>239.14122929763008</v>
      </c>
      <c r="L252" s="304">
        <f t="shared" ca="1" si="87"/>
        <v>240.45062713249644</v>
      </c>
      <c r="M252" s="306">
        <f t="shared" ca="1" si="103"/>
        <v>1.4596272745260948</v>
      </c>
      <c r="N252" s="304">
        <f t="shared" ca="1" si="104"/>
        <v>83.630482492528401</v>
      </c>
      <c r="P252" s="310">
        <f t="shared" ca="1" si="105"/>
        <v>6</v>
      </c>
      <c r="Q252" s="304">
        <f t="shared" ca="1" si="106"/>
        <v>516.65000000000123</v>
      </c>
      <c r="R252" s="306">
        <f t="shared" ca="1" si="107"/>
        <v>0.25928256338753541</v>
      </c>
      <c r="S252" s="307">
        <f t="shared" ca="1" si="108"/>
        <v>7.6556960816568438</v>
      </c>
      <c r="T252" s="304">
        <f t="shared" ca="1" si="88"/>
        <v>75.102378561053641</v>
      </c>
      <c r="U252" s="311">
        <f t="shared" ca="1" si="89"/>
        <v>0</v>
      </c>
      <c r="V252" s="306">
        <f t="shared" ca="1" si="90"/>
        <v>1.196051340314229</v>
      </c>
      <c r="W252" s="304">
        <f t="shared" ca="1" si="91"/>
        <v>97.582189223481905</v>
      </c>
      <c r="Y252" s="314" t="str">
        <f t="shared" ca="1" si="109"/>
        <v/>
      </c>
      <c r="Z252" s="315" t="str">
        <f t="shared" ca="1" si="110"/>
        <v/>
      </c>
      <c r="AA252" s="316" t="str">
        <f t="shared" ca="1" si="111"/>
        <v/>
      </c>
      <c r="AC252" s="310" t="e">
        <f t="shared" ca="1" si="112"/>
        <v>#N/A</v>
      </c>
      <c r="AD252" s="323" t="e">
        <f t="shared" ca="1" si="113"/>
        <v>#N/A</v>
      </c>
      <c r="AE252" s="324">
        <f t="shared" ca="1" si="92"/>
        <v>239.14122929763008</v>
      </c>
      <c r="AG252" s="306">
        <f t="shared" ca="1" si="114"/>
        <v>45.052920020145564</v>
      </c>
      <c r="AH252" s="304">
        <f t="shared" ca="1" si="115"/>
        <v>54.802431064246036</v>
      </c>
    </row>
    <row r="253" spans="1:34" x14ac:dyDescent="0.2">
      <c r="A253" s="347">
        <f t="shared" ca="1" si="93"/>
        <v>0.01</v>
      </c>
      <c r="B253" s="304">
        <f t="shared" ca="1" si="94"/>
        <v>2.4899999999999909</v>
      </c>
      <c r="D253" s="306">
        <f t="shared" ca="1" si="95"/>
        <v>6.0536821774474845</v>
      </c>
      <c r="E253" s="307">
        <f t="shared" ca="1" si="96"/>
        <v>44.42023064720275</v>
      </c>
      <c r="F253" s="304">
        <f t="shared" ca="1" si="97"/>
        <v>44.830837139810761</v>
      </c>
      <c r="G253" s="306">
        <f t="shared" ca="1" si="98"/>
        <v>19.549642383381578</v>
      </c>
      <c r="H253" s="307">
        <f t="shared" ca="1" si="99"/>
        <v>175.03194225275271</v>
      </c>
      <c r="I253" s="304">
        <f t="shared" ca="1" si="100"/>
        <v>176.12032627181074</v>
      </c>
      <c r="J253" s="306">
        <f t="shared" ca="1" si="101"/>
        <v>25.254653798336495</v>
      </c>
      <c r="K253" s="307">
        <f t="shared" ca="1" si="102"/>
        <v>240.88932770862525</v>
      </c>
      <c r="L253" s="304">
        <f t="shared" ca="1" si="87"/>
        <v>242.20954923864434</v>
      </c>
      <c r="M253" s="306">
        <f t="shared" ca="1" si="103"/>
        <v>1.4595654802116456</v>
      </c>
      <c r="N253" s="304">
        <f t="shared" ca="1" si="104"/>
        <v>83.626941939112569</v>
      </c>
      <c r="P253" s="310">
        <f t="shared" ca="1" si="105"/>
        <v>6</v>
      </c>
      <c r="Q253" s="304">
        <f t="shared" ca="1" si="106"/>
        <v>515.19000000000131</v>
      </c>
      <c r="R253" s="306">
        <f t="shared" ca="1" si="107"/>
        <v>0.25854985741144754</v>
      </c>
      <c r="S253" s="307">
        <f t="shared" ca="1" si="108"/>
        <v>7.6531105830827295</v>
      </c>
      <c r="T253" s="304">
        <f t="shared" ca="1" si="88"/>
        <v>75.077014820041583</v>
      </c>
      <c r="U253" s="311">
        <f t="shared" ca="1" si="89"/>
        <v>0</v>
      </c>
      <c r="V253" s="306">
        <f t="shared" ca="1" si="90"/>
        <v>1.1958422469323911</v>
      </c>
      <c r="W253" s="304">
        <f t="shared" ca="1" si="91"/>
        <v>98.063583266424075</v>
      </c>
      <c r="Y253" s="314" t="str">
        <f t="shared" ca="1" si="109"/>
        <v/>
      </c>
      <c r="Z253" s="315" t="str">
        <f t="shared" ca="1" si="110"/>
        <v/>
      </c>
      <c r="AA253" s="316" t="str">
        <f t="shared" ca="1" si="111"/>
        <v/>
      </c>
      <c r="AC253" s="310" t="e">
        <f t="shared" ca="1" si="112"/>
        <v>#N/A</v>
      </c>
      <c r="AD253" s="323" t="e">
        <f t="shared" ca="1" si="113"/>
        <v>#N/A</v>
      </c>
      <c r="AE253" s="324">
        <f t="shared" ca="1" si="92"/>
        <v>240.88932770862525</v>
      </c>
      <c r="AG253" s="306">
        <f t="shared" ca="1" si="114"/>
        <v>44.817625000168348</v>
      </c>
      <c r="AH253" s="304">
        <f t="shared" ca="1" si="115"/>
        <v>54.567068676577762</v>
      </c>
    </row>
    <row r="254" spans="1:34" x14ac:dyDescent="0.2">
      <c r="A254" s="347">
        <f t="shared" ca="1" si="93"/>
        <v>0.01</v>
      </c>
      <c r="B254" s="304">
        <f t="shared" ca="1" si="94"/>
        <v>2.4999999999999907</v>
      </c>
      <c r="D254" s="306">
        <f t="shared" ca="1" si="95"/>
        <v>6.030906761305733</v>
      </c>
      <c r="E254" s="307">
        <f t="shared" ca="1" si="96"/>
        <v>44.185940348961509</v>
      </c>
      <c r="F254" s="304">
        <f t="shared" ca="1" si="97"/>
        <v>44.595618180327406</v>
      </c>
      <c r="G254" s="306">
        <f t="shared" ca="1" si="98"/>
        <v>19.609951450994636</v>
      </c>
      <c r="H254" s="307">
        <f t="shared" ca="1" si="99"/>
        <v>175.47380165624233</v>
      </c>
      <c r="I254" s="304">
        <f t="shared" ca="1" si="100"/>
        <v>176.56614982381149</v>
      </c>
      <c r="J254" s="306">
        <f t="shared" ca="1" si="101"/>
        <v>25.450451767508376</v>
      </c>
      <c r="K254" s="307">
        <f t="shared" ca="1" si="102"/>
        <v>242.64185642817023</v>
      </c>
      <c r="L254" s="304">
        <f t="shared" ca="1" si="87"/>
        <v>243.9729410940464</v>
      </c>
      <c r="M254" s="306">
        <f t="shared" ca="1" si="103"/>
        <v>1.4595038078049327</v>
      </c>
      <c r="N254" s="304">
        <f t="shared" ca="1" si="104"/>
        <v>83.623408370495511</v>
      </c>
      <c r="P254" s="310">
        <f t="shared" ca="1" si="105"/>
        <v>6</v>
      </c>
      <c r="Q254" s="304">
        <f t="shared" ca="1" si="106"/>
        <v>513.73000000000138</v>
      </c>
      <c r="R254" s="306">
        <f t="shared" ca="1" si="107"/>
        <v>0.25781715143535971</v>
      </c>
      <c r="S254" s="307">
        <f t="shared" ca="1" si="108"/>
        <v>7.6505324115683759</v>
      </c>
      <c r="T254" s="304">
        <f t="shared" ca="1" si="88"/>
        <v>75.051722957485765</v>
      </c>
      <c r="U254" s="311">
        <f t="shared" ca="1" si="89"/>
        <v>0</v>
      </c>
      <c r="V254" s="306">
        <f t="shared" ca="1" si="90"/>
        <v>1.1956326598837574</v>
      </c>
      <c r="W254" s="304">
        <f t="shared" ca="1" si="91"/>
        <v>98.543405604891774</v>
      </c>
      <c r="Y254" s="314" t="str">
        <f t="shared" ca="1" si="109"/>
        <v/>
      </c>
      <c r="Z254" s="315" t="str">
        <f t="shared" ca="1" si="110"/>
        <v/>
      </c>
      <c r="AA254" s="316" t="str">
        <f t="shared" ca="1" si="111"/>
        <v/>
      </c>
      <c r="AC254" s="310" t="e">
        <f t="shared" ca="1" si="112"/>
        <v>#N/A</v>
      </c>
      <c r="AD254" s="323" t="e">
        <f t="shared" ca="1" si="113"/>
        <v>#N/A</v>
      </c>
      <c r="AE254" s="324">
        <f t="shared" ca="1" si="92"/>
        <v>242.64185642817023</v>
      </c>
      <c r="AG254" s="306">
        <f t="shared" ca="1" si="114"/>
        <v>44.58232162173092</v>
      </c>
      <c r="AH254" s="304">
        <f t="shared" ca="1" si="115"/>
        <v>54.331698027322624</v>
      </c>
    </row>
    <row r="255" spans="1:34" x14ac:dyDescent="0.2">
      <c r="A255" s="347">
        <f t="shared" ca="1" si="93"/>
        <v>0.01</v>
      </c>
      <c r="B255" s="304">
        <f t="shared" ca="1" si="94"/>
        <v>2.5099999999999905</v>
      </c>
      <c r="D255" s="306">
        <f t="shared" ca="1" si="95"/>
        <v>6.0038642659232702</v>
      </c>
      <c r="E255" s="307">
        <f t="shared" ca="1" si="96"/>
        <v>43.913788659159799</v>
      </c>
      <c r="F255" s="304">
        <f t="shared" ca="1" si="97"/>
        <v>44.322310640635401</v>
      </c>
      <c r="G255" s="306">
        <f t="shared" ca="1" si="98"/>
        <v>19.669990093653869</v>
      </c>
      <c r="H255" s="307">
        <f t="shared" ca="1" si="99"/>
        <v>175.91293954283393</v>
      </c>
      <c r="I255" s="304">
        <f t="shared" ca="1" si="100"/>
        <v>177.0092393319772</v>
      </c>
      <c r="J255" s="306">
        <f t="shared" ca="1" si="101"/>
        <v>25.646851475231617</v>
      </c>
      <c r="K255" s="307">
        <f t="shared" ca="1" si="102"/>
        <v>244.39879013416561</v>
      </c>
      <c r="L255" s="304">
        <f t="shared" ca="1" si="87"/>
        <v>245.74077726261982</v>
      </c>
      <c r="M255" s="306">
        <f t="shared" ca="1" si="103"/>
        <v>1.4594422558085565</v>
      </c>
      <c r="N255" s="304">
        <f t="shared" ca="1" si="104"/>
        <v>83.619881700882544</v>
      </c>
      <c r="P255" s="310">
        <f t="shared" ca="1" si="105"/>
        <v>7</v>
      </c>
      <c r="Q255" s="304">
        <f t="shared" ca="1" si="106"/>
        <v>511.97872340425727</v>
      </c>
      <c r="R255" s="306">
        <f t="shared" ca="1" si="107"/>
        <v>0.25693826730694563</v>
      </c>
      <c r="S255" s="307">
        <f t="shared" ca="1" si="108"/>
        <v>7.6479630288953064</v>
      </c>
      <c r="T255" s="304">
        <f t="shared" ca="1" si="88"/>
        <v>75.026517313462961</v>
      </c>
      <c r="U255" s="311">
        <f t="shared" ca="1" si="89"/>
        <v>0</v>
      </c>
      <c r="V255" s="306">
        <f t="shared" ca="1" si="90"/>
        <v>1.1954225824616482</v>
      </c>
      <c r="W255" s="304">
        <f t="shared" ca="1" si="91"/>
        <v>99.021210433878153</v>
      </c>
      <c r="Y255" s="314" t="str">
        <f t="shared" ca="1" si="109"/>
        <v/>
      </c>
      <c r="Z255" s="315" t="str">
        <f t="shared" ca="1" si="110"/>
        <v/>
      </c>
      <c r="AA255" s="316" t="str">
        <f t="shared" ca="1" si="111"/>
        <v/>
      </c>
      <c r="AC255" s="310" t="e">
        <f t="shared" ca="1" si="112"/>
        <v>#N/A</v>
      </c>
      <c r="AD255" s="323" t="e">
        <f t="shared" ca="1" si="113"/>
        <v>#N/A</v>
      </c>
      <c r="AE255" s="324">
        <f t="shared" ca="1" si="92"/>
        <v>244.39879013416561</v>
      </c>
      <c r="AG255" s="306">
        <f t="shared" ca="1" si="114"/>
        <v>44.308917285285943</v>
      </c>
      <c r="AH255" s="304">
        <f t="shared" ca="1" si="115"/>
        <v>54.058226515653452</v>
      </c>
    </row>
    <row r="256" spans="1:34" x14ac:dyDescent="0.2">
      <c r="A256" s="347">
        <f t="shared" ca="1" si="93"/>
        <v>0.01</v>
      </c>
      <c r="B256" s="304">
        <f t="shared" ca="1" si="94"/>
        <v>2.5199999999999902</v>
      </c>
      <c r="D256" s="306">
        <f t="shared" ca="1" si="95"/>
        <v>5.9725490392834493</v>
      </c>
      <c r="E256" s="307">
        <f t="shared" ca="1" si="96"/>
        <v>43.603786842884695</v>
      </c>
      <c r="F256" s="304">
        <f t="shared" ca="1" si="97"/>
        <v>44.010925564754601</v>
      </c>
      <c r="G256" s="306">
        <f t="shared" ca="1" si="98"/>
        <v>19.729715584046705</v>
      </c>
      <c r="H256" s="307">
        <f t="shared" ca="1" si="99"/>
        <v>176.34897741126278</v>
      </c>
      <c r="I256" s="304">
        <f t="shared" ca="1" si="100"/>
        <v>177.44921389238513</v>
      </c>
      <c r="J256" s="306">
        <f t="shared" ca="1" si="101"/>
        <v>25.843850003620119</v>
      </c>
      <c r="K256" s="307">
        <f t="shared" ca="1" si="102"/>
        <v>246.1600997189361</v>
      </c>
      <c r="L256" s="304">
        <f t="shared" ca="1" si="87"/>
        <v>247.51302849879676</v>
      </c>
      <c r="M256" s="306">
        <f t="shared" ca="1" si="103"/>
        <v>1.4593808226092051</v>
      </c>
      <c r="N256" s="304">
        <f t="shared" ca="1" si="104"/>
        <v>83.616361837837715</v>
      </c>
      <c r="P256" s="310">
        <f t="shared" ca="1" si="105"/>
        <v>7</v>
      </c>
      <c r="Q256" s="304">
        <f t="shared" ca="1" si="106"/>
        <v>509.93617021276793</v>
      </c>
      <c r="R256" s="306">
        <f t="shared" ca="1" si="107"/>
        <v>0.25591320502620485</v>
      </c>
      <c r="S256" s="307">
        <f t="shared" ca="1" si="108"/>
        <v>7.6454038968450444</v>
      </c>
      <c r="T256" s="304">
        <f t="shared" ca="1" si="88"/>
        <v>75.001412228049887</v>
      </c>
      <c r="U256" s="311">
        <f t="shared" ca="1" si="89"/>
        <v>0</v>
      </c>
      <c r="V256" s="306">
        <f t="shared" ca="1" si="90"/>
        <v>1.1952120184103572</v>
      </c>
      <c r="W256" s="304">
        <f t="shared" ca="1" si="91"/>
        <v>99.496548289496218</v>
      </c>
      <c r="Y256" s="314" t="str">
        <f t="shared" ca="1" si="109"/>
        <v/>
      </c>
      <c r="Z256" s="315" t="str">
        <f t="shared" ca="1" si="110"/>
        <v/>
      </c>
      <c r="AA256" s="316" t="str">
        <f t="shared" ca="1" si="111"/>
        <v/>
      </c>
      <c r="AC256" s="310" t="e">
        <f t="shared" ca="1" si="112"/>
        <v>#N/A</v>
      </c>
      <c r="AD256" s="323" t="e">
        <f t="shared" ca="1" si="113"/>
        <v>#N/A</v>
      </c>
      <c r="AE256" s="324">
        <f t="shared" ca="1" si="92"/>
        <v>246.1600997189361</v>
      </c>
      <c r="AG256" s="306">
        <f t="shared" ca="1" si="114"/>
        <v>43.997422555787715</v>
      </c>
      <c r="AH256" s="304">
        <f t="shared" ca="1" si="115"/>
        <v>53.74666470511233</v>
      </c>
    </row>
    <row r="257" spans="1:34" x14ac:dyDescent="0.2">
      <c r="A257" s="347">
        <f t="shared" ca="1" si="93"/>
        <v>0.01</v>
      </c>
      <c r="B257" s="304">
        <f t="shared" ca="1" si="94"/>
        <v>2.52999999999999</v>
      </c>
      <c r="D257" s="306">
        <f t="shared" ca="1" si="95"/>
        <v>5.9411940862675747</v>
      </c>
      <c r="E257" s="307">
        <f t="shared" ca="1" si="96"/>
        <v>43.293831996559987</v>
      </c>
      <c r="F257" s="304">
        <f t="shared" ca="1" si="97"/>
        <v>43.699584392955757</v>
      </c>
      <c r="G257" s="306">
        <f t="shared" ca="1" si="98"/>
        <v>19.789127524909382</v>
      </c>
      <c r="H257" s="307">
        <f t="shared" ca="1" si="99"/>
        <v>176.78191573122837</v>
      </c>
      <c r="I257" s="304">
        <f t="shared" ca="1" si="100"/>
        <v>177.88607392879368</v>
      </c>
      <c r="J257" s="306">
        <f t="shared" ca="1" si="101"/>
        <v>26.041444219164898</v>
      </c>
      <c r="K257" s="307">
        <f t="shared" ca="1" si="102"/>
        <v>247.92575418464855</v>
      </c>
      <c r="L257" s="304">
        <f t="shared" ca="1" si="87"/>
        <v>249.28966365464626</v>
      </c>
      <c r="M257" s="306">
        <f t="shared" ca="1" si="103"/>
        <v>1.4593195066110405</v>
      </c>
      <c r="N257" s="304">
        <f t="shared" ca="1" si="104"/>
        <v>83.612848689926253</v>
      </c>
      <c r="P257" s="310">
        <f t="shared" ca="1" si="105"/>
        <v>7</v>
      </c>
      <c r="Q257" s="304">
        <f t="shared" ca="1" si="106"/>
        <v>507.8936170212786</v>
      </c>
      <c r="R257" s="306">
        <f t="shared" ca="1" si="107"/>
        <v>0.25488814274546401</v>
      </c>
      <c r="S257" s="307">
        <f t="shared" ca="1" si="108"/>
        <v>7.6428550154175898</v>
      </c>
      <c r="T257" s="304">
        <f t="shared" ca="1" si="88"/>
        <v>74.976407701246558</v>
      </c>
      <c r="U257" s="311">
        <f t="shared" ca="1" si="89"/>
        <v>0</v>
      </c>
      <c r="V257" s="306">
        <f t="shared" ca="1" si="90"/>
        <v>1.1950009716982071</v>
      </c>
      <c r="W257" s="304">
        <f t="shared" ca="1" si="91"/>
        <v>99.969394590147672</v>
      </c>
      <c r="Y257" s="314" t="str">
        <f t="shared" ca="1" si="109"/>
        <v/>
      </c>
      <c r="Z257" s="315" t="str">
        <f t="shared" ca="1" si="110"/>
        <v/>
      </c>
      <c r="AA257" s="316" t="str">
        <f t="shared" ca="1" si="111"/>
        <v/>
      </c>
      <c r="AC257" s="310" t="e">
        <f t="shared" ca="1" si="112"/>
        <v>#N/A</v>
      </c>
      <c r="AD257" s="323" t="e">
        <f t="shared" ca="1" si="113"/>
        <v>#N/A</v>
      </c>
      <c r="AE257" s="324">
        <f t="shared" ca="1" si="92"/>
        <v>247.92575418464855</v>
      </c>
      <c r="AG257" s="306">
        <f t="shared" ca="1" si="114"/>
        <v>43.685970201374374</v>
      </c>
      <c r="AH257" s="304">
        <f t="shared" ca="1" si="115"/>
        <v>53.435145362294747</v>
      </c>
    </row>
    <row r="258" spans="1:34" x14ac:dyDescent="0.2">
      <c r="A258" s="347">
        <f t="shared" ca="1" si="93"/>
        <v>0.01</v>
      </c>
      <c r="B258" s="304">
        <f t="shared" ca="1" si="94"/>
        <v>2.5399999999999898</v>
      </c>
      <c r="D258" s="306">
        <f t="shared" ca="1" si="95"/>
        <v>5.9098001118813164</v>
      </c>
      <c r="E258" s="307">
        <f t="shared" ca="1" si="96"/>
        <v>42.983928587904749</v>
      </c>
      <c r="F258" s="304">
        <f t="shared" ca="1" si="97"/>
        <v>43.388291671976297</v>
      </c>
      <c r="G258" s="306">
        <f t="shared" ca="1" si="98"/>
        <v>19.848225526028195</v>
      </c>
      <c r="H258" s="307">
        <f t="shared" ca="1" si="99"/>
        <v>177.21175501710741</v>
      </c>
      <c r="I258" s="304">
        <f t="shared" ca="1" si="100"/>
        <v>178.31981991011367</v>
      </c>
      <c r="J258" s="306">
        <f t="shared" ca="1" si="101"/>
        <v>26.239630984419588</v>
      </c>
      <c r="K258" s="307">
        <f t="shared" ca="1" si="102"/>
        <v>249.69572253839024</v>
      </c>
      <c r="L258" s="304">
        <f t="shared" ca="1" si="87"/>
        <v>251.07065158669437</v>
      </c>
      <c r="M258" s="306">
        <f t="shared" ca="1" si="103"/>
        <v>1.459258306235381</v>
      </c>
      <c r="N258" s="304">
        <f t="shared" ca="1" si="104"/>
        <v>83.609342166696351</v>
      </c>
      <c r="P258" s="310">
        <f t="shared" ca="1" si="105"/>
        <v>7</v>
      </c>
      <c r="Q258" s="304">
        <f t="shared" ca="1" si="106"/>
        <v>505.85106382978927</v>
      </c>
      <c r="R258" s="306">
        <f t="shared" ca="1" si="107"/>
        <v>0.25386308046472317</v>
      </c>
      <c r="S258" s="307">
        <f t="shared" ca="1" si="108"/>
        <v>7.6403163846129427</v>
      </c>
      <c r="T258" s="304">
        <f t="shared" ca="1" si="88"/>
        <v>74.951503733052974</v>
      </c>
      <c r="U258" s="311">
        <f t="shared" ca="1" si="89"/>
        <v>0</v>
      </c>
      <c r="V258" s="306">
        <f t="shared" ca="1" si="90"/>
        <v>1.1947894462908817</v>
      </c>
      <c r="W258" s="304">
        <f t="shared" ca="1" si="91"/>
        <v>100.43972502345551</v>
      </c>
      <c r="Y258" s="314" t="str">
        <f t="shared" ca="1" si="109"/>
        <v/>
      </c>
      <c r="Z258" s="315" t="str">
        <f t="shared" ca="1" si="110"/>
        <v/>
      </c>
      <c r="AA258" s="316" t="str">
        <f t="shared" ca="1" si="111"/>
        <v/>
      </c>
      <c r="AC258" s="310" t="e">
        <f t="shared" ca="1" si="112"/>
        <v>#N/A</v>
      </c>
      <c r="AD258" s="323" t="e">
        <f t="shared" ca="1" si="113"/>
        <v>#N/A</v>
      </c>
      <c r="AE258" s="324">
        <f t="shared" ca="1" si="92"/>
        <v>249.69572253839024</v>
      </c>
      <c r="AG258" s="306">
        <f t="shared" ca="1" si="114"/>
        <v>43.374564737278988</v>
      </c>
      <c r="AH258" s="304">
        <f t="shared" ca="1" si="115"/>
        <v>53.123673000905903</v>
      </c>
    </row>
    <row r="259" spans="1:34" x14ac:dyDescent="0.2">
      <c r="A259" s="347">
        <f t="shared" ca="1" si="93"/>
        <v>0.01</v>
      </c>
      <c r="B259" s="304">
        <f t="shared" ca="1" si="94"/>
        <v>2.5499999999999896</v>
      </c>
      <c r="D259" s="306">
        <f t="shared" ca="1" si="95"/>
        <v>5.878367816020786</v>
      </c>
      <c r="E259" s="307">
        <f t="shared" ca="1" si="96"/>
        <v>42.674081055359807</v>
      </c>
      <c r="F259" s="304">
        <f t="shared" ca="1" si="97"/>
        <v>43.077051919784942</v>
      </c>
      <c r="G259" s="306">
        <f t="shared" ca="1" si="98"/>
        <v>19.907009204188402</v>
      </c>
      <c r="H259" s="307">
        <f t="shared" ca="1" si="99"/>
        <v>177.63849582766102</v>
      </c>
      <c r="I259" s="304">
        <f t="shared" ca="1" si="100"/>
        <v>178.75045235011177</v>
      </c>
      <c r="J259" s="306">
        <f t="shared" ca="1" si="101"/>
        <v>26.438407158070671</v>
      </c>
      <c r="K259" s="307">
        <f t="shared" ca="1" si="102"/>
        <v>251.4699737926141</v>
      </c>
      <c r="L259" s="304">
        <f t="shared" ca="1" si="87"/>
        <v>252.85596115637443</v>
      </c>
      <c r="M259" s="306">
        <f t="shared" ca="1" si="103"/>
        <v>1.4591972199203931</v>
      </c>
      <c r="N259" s="304">
        <f t="shared" ca="1" si="104"/>
        <v>83.605842178661533</v>
      </c>
      <c r="P259" s="310">
        <f t="shared" ca="1" si="105"/>
        <v>7</v>
      </c>
      <c r="Q259" s="304">
        <f t="shared" ca="1" si="106"/>
        <v>503.80851063829999</v>
      </c>
      <c r="R259" s="306">
        <f t="shared" ca="1" si="107"/>
        <v>0.25283801818398238</v>
      </c>
      <c r="S259" s="307">
        <f t="shared" ca="1" si="108"/>
        <v>7.6377880044311031</v>
      </c>
      <c r="T259" s="304">
        <f t="shared" ca="1" si="88"/>
        <v>74.92670032346912</v>
      </c>
      <c r="U259" s="311">
        <f t="shared" ca="1" si="89"/>
        <v>0</v>
      </c>
      <c r="V259" s="306">
        <f t="shared" ca="1" si="90"/>
        <v>1.1945774461513561</v>
      </c>
      <c r="W259" s="304">
        <f t="shared" ca="1" si="91"/>
        <v>100.90751554626306</v>
      </c>
      <c r="Y259" s="314" t="str">
        <f t="shared" ca="1" si="109"/>
        <v/>
      </c>
      <c r="Z259" s="315" t="str">
        <f t="shared" ca="1" si="110"/>
        <v/>
      </c>
      <c r="AA259" s="316" t="str">
        <f t="shared" ca="1" si="111"/>
        <v/>
      </c>
      <c r="AC259" s="310" t="e">
        <f t="shared" ca="1" si="112"/>
        <v>#N/A</v>
      </c>
      <c r="AD259" s="323" t="e">
        <f t="shared" ca="1" si="113"/>
        <v>#N/A</v>
      </c>
      <c r="AE259" s="324">
        <f t="shared" ca="1" si="92"/>
        <v>251.4699737926141</v>
      </c>
      <c r="AG259" s="306">
        <f t="shared" ca="1" si="114"/>
        <v>43.063210649106352</v>
      </c>
      <c r="AH259" s="304">
        <f t="shared" ca="1" si="115"/>
        <v>52.81225210503721</v>
      </c>
    </row>
    <row r="260" spans="1:34" x14ac:dyDescent="0.2">
      <c r="A260" s="347">
        <f t="shared" ca="1" si="93"/>
        <v>0.01</v>
      </c>
      <c r="B260" s="304">
        <f t="shared" ca="1" si="94"/>
        <v>2.5599999999999894</v>
      </c>
      <c r="D260" s="306">
        <f t="shared" ca="1" si="95"/>
        <v>5.8468978934896656</v>
      </c>
      <c r="E260" s="307">
        <f t="shared" ca="1" si="96"/>
        <v>42.364293807976814</v>
      </c>
      <c r="F260" s="304">
        <f t="shared" ca="1" si="97"/>
        <v>42.765869625502489</v>
      </c>
      <c r="G260" s="306">
        <f t="shared" ca="1" si="98"/>
        <v>19.965478183123299</v>
      </c>
      <c r="H260" s="307">
        <f t="shared" ca="1" si="99"/>
        <v>178.0621387657408</v>
      </c>
      <c r="I260" s="304">
        <f t="shared" ca="1" si="100"/>
        <v>179.17797180711335</v>
      </c>
      <c r="J260" s="306">
        <f t="shared" ca="1" si="101"/>
        <v>26.637769595007228</v>
      </c>
      <c r="K260" s="307">
        <f t="shared" ca="1" si="102"/>
        <v>253.24847696558112</v>
      </c>
      <c r="L260" s="304">
        <f t="shared" ref="L260:L323" ca="1" si="116">SQRT(pos_x^2+pos_z^2)</f>
        <v>254.64556123047416</v>
      </c>
      <c r="M260" s="306">
        <f t="shared" ca="1" si="103"/>
        <v>1.45913624612079</v>
      </c>
      <c r="N260" s="304">
        <f t="shared" ca="1" si="104"/>
        <v>83.602348637283399</v>
      </c>
      <c r="P260" s="310">
        <f t="shared" ca="1" si="105"/>
        <v>7</v>
      </c>
      <c r="Q260" s="304">
        <f t="shared" ca="1" si="106"/>
        <v>501.76595744681066</v>
      </c>
      <c r="R260" s="306">
        <f t="shared" ca="1" si="107"/>
        <v>0.2518129559032416</v>
      </c>
      <c r="S260" s="307">
        <f t="shared" ca="1" si="108"/>
        <v>7.6352698748720709</v>
      </c>
      <c r="T260" s="304">
        <f t="shared" ref="T260:T323" ca="1" si="117">m*g</f>
        <v>74.901997472495026</v>
      </c>
      <c r="U260" s="311">
        <f t="shared" ref="U260:U323" ca="1" si="118">IF(pos_xz&lt;L_rampe,Poids*COS(Beta),0)</f>
        <v>0</v>
      </c>
      <c r="V260" s="306">
        <f t="shared" ref="V260:V323" ca="1" si="119">Rho_moyen*(20000-Alt_rampe-pos_z)/(20000+Alt_rampe+pos_z)</f>
        <v>1.194364975239832</v>
      </c>
      <c r="W260" s="304">
        <f t="shared" ref="W260:W323" ca="1" si="120">1/2*Rho*Sref*Cx*vit_xz^2</f>
        <v>101.3727423846107</v>
      </c>
      <c r="Y260" s="314" t="str">
        <f t="shared" ca="1" si="109"/>
        <v/>
      </c>
      <c r="Z260" s="315" t="str">
        <f t="shared" ca="1" si="110"/>
        <v/>
      </c>
      <c r="AA260" s="316" t="str">
        <f t="shared" ca="1" si="111"/>
        <v/>
      </c>
      <c r="AC260" s="310" t="e">
        <f t="shared" ca="1" si="112"/>
        <v>#N/A</v>
      </c>
      <c r="AD260" s="323" t="e">
        <f t="shared" ca="1" si="113"/>
        <v>#N/A</v>
      </c>
      <c r="AE260" s="324">
        <f t="shared" ref="AE260:AE323" ca="1" si="121">IF(t&lt;T_para, pos_z, NA())</f>
        <v>253.24847696558112</v>
      </c>
      <c r="AG260" s="306">
        <f t="shared" ca="1" si="114"/>
        <v>42.751912392723874</v>
      </c>
      <c r="AH260" s="304">
        <f t="shared" ca="1" si="115"/>
        <v>52.500887129056984</v>
      </c>
    </row>
    <row r="261" spans="1:34" x14ac:dyDescent="0.2">
      <c r="A261" s="347">
        <f t="shared" ref="A261:A324" ca="1" si="122">IF(B260+0.01&lt;=T_ini+ROUNDUP(Temps_fin_propu,0), 0.01, IF(K260&gt;0, 0.1, 0.0001))</f>
        <v>0.01</v>
      </c>
      <c r="B261" s="304">
        <f t="shared" ref="B261:B324" ca="1" si="123">B260+pas</f>
        <v>2.5699999999999892</v>
      </c>
      <c r="D261" s="306">
        <f t="shared" ref="D261:D324" ca="1" si="124">IF(AND(L260&lt;L_rampe,Poussee&lt;Poids*SIN(M260)),0,(-W260+Poussee)/m*COS(M260)-U260/m*SIN(M260))</f>
        <v>5.8153910340158905</v>
      </c>
      <c r="E261" s="307">
        <f t="shared" ref="E261:E324" ca="1" si="125">IF(AND(L260&lt;L_rampe,Poussee&lt;Poids*SIN(M260)),0,(-W260+Poussee)/m*SIN(M260)+U260/m*COS(M260)-Poids/m)</f>
        <v>42.054571225310546</v>
      </c>
      <c r="F261" s="304">
        <f t="shared" ref="F261:F324" ca="1" si="126">SQRT(acc_x^2+acc_z^2)</f>
        <v>42.454749249326987</v>
      </c>
      <c r="G261" s="306">
        <f t="shared" ref="G261:G324" ca="1" si="127">G260+acc_x*pas</f>
        <v>20.023632093463458</v>
      </c>
      <c r="H261" s="307">
        <f t="shared" ref="H261:H324" ca="1" si="128">H260+acc_z*pas</f>
        <v>178.4826844779939</v>
      </c>
      <c r="I261" s="304">
        <f t="shared" ref="I261:I324" ca="1" si="129">SQRT(vit_x^2+vit_z^2)</f>
        <v>179.60237888370384</v>
      </c>
      <c r="J261" s="306">
        <f t="shared" ref="J261:J324" ca="1" si="130">J260+0.5*(vit_x+G260)*pas*(K260&gt;=0)</f>
        <v>26.837715146390163</v>
      </c>
      <c r="K261" s="307">
        <f t="shared" ref="K261:K324" ca="1" si="131">K260+0.5*(vit_z+H260)*pas</f>
        <v>255.03120108179979</v>
      </c>
      <c r="L261" s="304">
        <f t="shared" ca="1" si="116"/>
        <v>256.43942068157963</v>
      </c>
      <c r="M261" s="306">
        <f t="shared" ref="M261:M324" ca="1" si="132">IF(AND(L260&gt;L_rampe,G261&gt;0),ATAN2(G261,H261),$M$4)</f>
        <v>1.4590753833075345</v>
      </c>
      <c r="N261" s="304">
        <f t="shared" ref="N261:N324" ca="1" si="133">DEGREES(Beta)</f>
        <v>83.598861454954573</v>
      </c>
      <c r="P261" s="310">
        <f t="shared" ref="P261:P324" ca="1" si="134">MATCH(t-pas/2-T_ini,CdP_t)</f>
        <v>7</v>
      </c>
      <c r="Q261" s="304">
        <f t="shared" ref="Q261:Q324" ca="1" si="135">(INDEX(CdP,2,i_P+1)-INDEX(CdP,2,i_P+0))/(INDEX(CdP,1,i_P+1)-INDEX(CdP,1,i_P+0))*(t-pas/2-T_ini-INDEX(CdP,1,i_P+0))+INDEX(CdP,2,i_P+0)</f>
        <v>499.72340425532133</v>
      </c>
      <c r="R261" s="306">
        <f t="shared" ref="R261:R324" ca="1" si="136">Poussee/(g*ISP)</f>
        <v>0.25078789362250076</v>
      </c>
      <c r="S261" s="307">
        <f t="shared" ref="S261:S324" ca="1" si="137">S260-Débit*pas</f>
        <v>7.6327619959358461</v>
      </c>
      <c r="T261" s="304">
        <f t="shared" ca="1" si="117"/>
        <v>74.877395180130648</v>
      </c>
      <c r="U261" s="311">
        <f t="shared" ca="1" si="118"/>
        <v>0</v>
      </c>
      <c r="V261" s="306">
        <f t="shared" ca="1" si="119"/>
        <v>1.1941520375136701</v>
      </c>
      <c r="W261" s="304">
        <f t="shared" ca="1" si="120"/>
        <v>101.83538203368983</v>
      </c>
      <c r="Y261" s="314" t="str">
        <f t="shared" ref="Y261:Y324" ca="1" si="138">IF(AND(pos_z&lt;=0,K260&gt;0),"Impact balistique","") &amp; IF(AND(H262&lt;0,vit_z&gt;=0),"Apogée","") &amp; IF(AND(Poussee=0,Q260&gt;0),"Fin de propulsion","") &amp; IF(AND(L262&gt;L_rampe,pos_xz&lt;=L_rampe),"Sortie de rampe","")</f>
        <v/>
      </c>
      <c r="Z261" s="315" t="str">
        <f t="shared" ref="Z261:Z324" ca="1" si="139">IF(ABS(t-T_para)&lt;pas/2,"Para","")</f>
        <v/>
      </c>
      <c r="AA261" s="316" t="str">
        <f t="shared" ref="AA261:AA324" ca="1" si="140">IF(ABS(t-T_satellite)&lt;pas/2,"Satellite","")</f>
        <v/>
      </c>
      <c r="AC261" s="310" t="e">
        <f t="shared" ref="AC261:AC324" ca="1" si="141">IF(ABS(t-ROUND(t,0))&lt;0.001,t,NA())</f>
        <v>#N/A</v>
      </c>
      <c r="AD261" s="323" t="e">
        <f t="shared" ref="AD261:AD324" ca="1" si="142">IF(ABS(t-ROUND(t,0))&lt;0.001,pos_x,NA())</f>
        <v>#N/A</v>
      </c>
      <c r="AE261" s="324">
        <f t="shared" ca="1" si="121"/>
        <v>255.03120108179979</v>
      </c>
      <c r="AG261" s="306">
        <f t="shared" ref="AG261:AG324" ca="1" si="143">IF(AND(L260&lt;L_rampe,Poussee&lt;Poids*SIN(M260)),0,(-W260+Poussee)/m-Poids*SIN(M260)/m)</f>
        <v>42.440674394155948</v>
      </c>
      <c r="AH261" s="304">
        <f t="shared" ref="AH261:AH324" ca="1" si="144">IF(AND(L260&lt;L_rampe,Poussee&lt;Poids*SIN(M260)), g*SIN(M260), (-W260+Poussee)/m)</f>
        <v>52.189582497504453</v>
      </c>
    </row>
    <row r="262" spans="1:34" x14ac:dyDescent="0.2">
      <c r="A262" s="347">
        <f t="shared" ca="1" si="122"/>
        <v>0.01</v>
      </c>
      <c r="B262" s="304">
        <f t="shared" ca="1" si="123"/>
        <v>2.579999999999989</v>
      </c>
      <c r="D262" s="306">
        <f t="shared" ca="1" si="124"/>
        <v>5.783847922268075</v>
      </c>
      <c r="E262" s="307">
        <f t="shared" ca="1" si="125"/>
        <v>41.744917657314737</v>
      </c>
      <c r="F262" s="304">
        <f t="shared" ca="1" si="126"/>
        <v>42.143695222463734</v>
      </c>
      <c r="G262" s="306">
        <f t="shared" ca="1" si="127"/>
        <v>20.08147057268614</v>
      </c>
      <c r="H262" s="307">
        <f t="shared" ca="1" si="128"/>
        <v>178.90013365456704</v>
      </c>
      <c r="I262" s="304">
        <f t="shared" ca="1" si="129"/>
        <v>180.02367422642948</v>
      </c>
      <c r="J262" s="306">
        <f t="shared" ca="1" si="130"/>
        <v>27.038240659720913</v>
      </c>
      <c r="K262" s="307">
        <f t="shared" ca="1" si="131"/>
        <v>256.81811517246263</v>
      </c>
      <c r="L262" s="304">
        <f t="shared" ca="1" si="116"/>
        <v>258.23750838851674</v>
      </c>
      <c r="M262" s="306">
        <f t="shared" ca="1" si="132"/>
        <v>1.459014629967549</v>
      </c>
      <c r="N262" s="304">
        <f t="shared" ca="1" si="133"/>
        <v>83.595380544982078</v>
      </c>
      <c r="P262" s="310">
        <f t="shared" ca="1" si="134"/>
        <v>7</v>
      </c>
      <c r="Q262" s="304">
        <f t="shared" ca="1" si="135"/>
        <v>497.68085106383205</v>
      </c>
      <c r="R262" s="306">
        <f t="shared" ca="1" si="136"/>
        <v>0.24976283134175997</v>
      </c>
      <c r="S262" s="307">
        <f t="shared" ca="1" si="137"/>
        <v>7.6302643676224289</v>
      </c>
      <c r="T262" s="304">
        <f t="shared" ca="1" si="117"/>
        <v>74.852893446376029</v>
      </c>
      <c r="U262" s="311">
        <f t="shared" ca="1" si="118"/>
        <v>0</v>
      </c>
      <c r="V262" s="306">
        <f t="shared" ca="1" si="119"/>
        <v>1.1939386369273239</v>
      </c>
      <c r="W262" s="304">
        <f t="shared" ca="1" si="120"/>
        <v>102.29541125777472</v>
      </c>
      <c r="Y262" s="314" t="str">
        <f t="shared" ca="1" si="138"/>
        <v/>
      </c>
      <c r="Z262" s="315" t="str">
        <f t="shared" ca="1" si="139"/>
        <v/>
      </c>
      <c r="AA262" s="316" t="str">
        <f t="shared" ca="1" si="140"/>
        <v/>
      </c>
      <c r="AC262" s="310" t="e">
        <f t="shared" ca="1" si="141"/>
        <v>#N/A</v>
      </c>
      <c r="AD262" s="323" t="e">
        <f t="shared" ca="1" si="142"/>
        <v>#N/A</v>
      </c>
      <c r="AE262" s="324">
        <f t="shared" ca="1" si="121"/>
        <v>256.81811517246263</v>
      </c>
      <c r="AG262" s="306">
        <f t="shared" ca="1" si="143"/>
        <v>42.129501049481547</v>
      </c>
      <c r="AH262" s="304">
        <f t="shared" ca="1" si="144"/>
        <v>51.878342604987182</v>
      </c>
    </row>
    <row r="263" spans="1:34" x14ac:dyDescent="0.2">
      <c r="A263" s="347">
        <f t="shared" ca="1" si="122"/>
        <v>0.01</v>
      </c>
      <c r="B263" s="304">
        <f t="shared" ca="1" si="123"/>
        <v>2.5899999999999888</v>
      </c>
      <c r="D263" s="306">
        <f t="shared" ca="1" si="124"/>
        <v>5.7522692378715137</v>
      </c>
      <c r="E263" s="307">
        <f t="shared" ca="1" si="125"/>
        <v>41.435337424241041</v>
      </c>
      <c r="F263" s="304">
        <f t="shared" ca="1" si="126"/>
        <v>41.832711947059721</v>
      </c>
      <c r="G263" s="306">
        <f t="shared" ca="1" si="127"/>
        <v>20.138993265064855</v>
      </c>
      <c r="H263" s="307">
        <f t="shared" ca="1" si="128"/>
        <v>179.31448702880945</v>
      </c>
      <c r="I263" s="304">
        <f t="shared" ca="1" si="129"/>
        <v>180.4418585254968</v>
      </c>
      <c r="J263" s="306">
        <f t="shared" ca="1" si="130"/>
        <v>27.239342978909669</v>
      </c>
      <c r="K263" s="307">
        <f t="shared" ca="1" si="131"/>
        <v>258.60918827587949</v>
      </c>
      <c r="L263" s="304">
        <f t="shared" ca="1" si="116"/>
        <v>260.03979323678897</v>
      </c>
      <c r="M263" s="306">
        <f t="shared" ca="1" si="132"/>
        <v>1.4589539846034314</v>
      </c>
      <c r="N263" s="304">
        <f t="shared" ca="1" si="133"/>
        <v>83.591905821571103</v>
      </c>
      <c r="P263" s="310">
        <f t="shared" ca="1" si="134"/>
        <v>7</v>
      </c>
      <c r="Q263" s="304">
        <f t="shared" ca="1" si="135"/>
        <v>495.63829787234272</v>
      </c>
      <c r="R263" s="306">
        <f t="shared" ca="1" si="136"/>
        <v>0.24873776906101916</v>
      </c>
      <c r="S263" s="307">
        <f t="shared" ca="1" si="137"/>
        <v>7.6277769899318191</v>
      </c>
      <c r="T263" s="304">
        <f t="shared" ca="1" si="117"/>
        <v>74.828492271231156</v>
      </c>
      <c r="U263" s="311">
        <f t="shared" ca="1" si="118"/>
        <v>0</v>
      </c>
      <c r="V263" s="306">
        <f t="shared" ca="1" si="119"/>
        <v>1.1937247774322739</v>
      </c>
      <c r="W263" s="304">
        <f t="shared" ca="1" si="120"/>
        <v>102.75280709013207</v>
      </c>
      <c r="Y263" s="314" t="str">
        <f t="shared" ca="1" si="138"/>
        <v/>
      </c>
      <c r="Z263" s="315" t="str">
        <f t="shared" ca="1" si="139"/>
        <v/>
      </c>
      <c r="AA263" s="316" t="str">
        <f t="shared" ca="1" si="140"/>
        <v/>
      </c>
      <c r="AC263" s="310" t="e">
        <f t="shared" ca="1" si="141"/>
        <v>#N/A</v>
      </c>
      <c r="AD263" s="323" t="e">
        <f t="shared" ca="1" si="142"/>
        <v>#N/A</v>
      </c>
      <c r="AE263" s="324">
        <f t="shared" ca="1" si="121"/>
        <v>258.60918827587949</v>
      </c>
      <c r="AG263" s="306">
        <f t="shared" ca="1" si="143"/>
        <v>41.818396724735059</v>
      </c>
      <c r="AH263" s="304">
        <f t="shared" ca="1" si="144"/>
        <v>51.567171816081618</v>
      </c>
    </row>
    <row r="264" spans="1:34" x14ac:dyDescent="0.2">
      <c r="A264" s="347">
        <f t="shared" ca="1" si="122"/>
        <v>0.01</v>
      </c>
      <c r="B264" s="304">
        <f t="shared" ca="1" si="123"/>
        <v>2.5999999999999885</v>
      </c>
      <c r="D264" s="306">
        <f t="shared" ca="1" si="124"/>
        <v>5.720655655423859</v>
      </c>
      <c r="E264" s="307">
        <f t="shared" ca="1" si="125"/>
        <v>41.125834816541598</v>
      </c>
      <c r="F264" s="304">
        <f t="shared" ca="1" si="126"/>
        <v>41.521803796143033</v>
      </c>
      <c r="G264" s="306">
        <f t="shared" ca="1" si="127"/>
        <v>20.196199821619093</v>
      </c>
      <c r="H264" s="307">
        <f t="shared" ca="1" si="128"/>
        <v>179.72574537697486</v>
      </c>
      <c r="I264" s="304">
        <f t="shared" ca="1" si="129"/>
        <v>180.85693251447111</v>
      </c>
      <c r="J264" s="306">
        <f t="shared" ca="1" si="130"/>
        <v>27.441018944343089</v>
      </c>
      <c r="K264" s="307">
        <f t="shared" ca="1" si="131"/>
        <v>260.40438943790843</v>
      </c>
      <c r="L264" s="304">
        <f t="shared" ca="1" si="116"/>
        <v>261.84624411901285</v>
      </c>
      <c r="M264" s="306">
        <f t="shared" ca="1" si="132"/>
        <v>1.4588934457331757</v>
      </c>
      <c r="N264" s="304">
        <f t="shared" ca="1" si="133"/>
        <v>83.588437199808965</v>
      </c>
      <c r="P264" s="310">
        <f t="shared" ca="1" si="134"/>
        <v>7</v>
      </c>
      <c r="Q264" s="304">
        <f t="shared" ca="1" si="135"/>
        <v>493.59574468085339</v>
      </c>
      <c r="R264" s="306">
        <f t="shared" ca="1" si="136"/>
        <v>0.24771270678027832</v>
      </c>
      <c r="S264" s="307">
        <f t="shared" ca="1" si="137"/>
        <v>7.6252998628640167</v>
      </c>
      <c r="T264" s="304">
        <f t="shared" ca="1" si="117"/>
        <v>74.804191654696012</v>
      </c>
      <c r="U264" s="311">
        <f t="shared" ca="1" si="118"/>
        <v>0</v>
      </c>
      <c r="V264" s="306">
        <f t="shared" ca="1" si="119"/>
        <v>1.1935104629769644</v>
      </c>
      <c r="W264" s="304">
        <f t="shared" ca="1" si="120"/>
        <v>103.207546832909</v>
      </c>
      <c r="Y264" s="314" t="str">
        <f t="shared" ca="1" si="138"/>
        <v/>
      </c>
      <c r="Z264" s="315" t="str">
        <f t="shared" ca="1" si="139"/>
        <v/>
      </c>
      <c r="AA264" s="316" t="str">
        <f t="shared" ca="1" si="140"/>
        <v/>
      </c>
      <c r="AC264" s="310" t="e">
        <f t="shared" ca="1" si="141"/>
        <v>#N/A</v>
      </c>
      <c r="AD264" s="323" t="e">
        <f t="shared" ca="1" si="142"/>
        <v>#N/A</v>
      </c>
      <c r="AE264" s="324">
        <f t="shared" ca="1" si="121"/>
        <v>260.40438943790843</v>
      </c>
      <c r="AG264" s="306">
        <f t="shared" ca="1" si="143"/>
        <v>41.507365755810696</v>
      </c>
      <c r="AH264" s="304">
        <f t="shared" ca="1" si="144"/>
        <v>51.256074465237234</v>
      </c>
    </row>
    <row r="265" spans="1:34" x14ac:dyDescent="0.2">
      <c r="A265" s="347">
        <f t="shared" ca="1" si="122"/>
        <v>0.01</v>
      </c>
      <c r="B265" s="304">
        <f t="shared" ca="1" si="123"/>
        <v>2.6099999999999883</v>
      </c>
      <c r="D265" s="306">
        <f t="shared" ca="1" si="124"/>
        <v>5.689007844510483</v>
      </c>
      <c r="E265" s="307">
        <f t="shared" ca="1" si="125"/>
        <v>40.816414094774771</v>
      </c>
      <c r="F265" s="304">
        <f t="shared" ca="1" si="126"/>
        <v>41.210975113566903</v>
      </c>
      <c r="G265" s="306">
        <f t="shared" ca="1" si="127"/>
        <v>20.253089900064197</v>
      </c>
      <c r="H265" s="307">
        <f t="shared" ca="1" si="128"/>
        <v>180.1339095179226</v>
      </c>
      <c r="I265" s="304">
        <f t="shared" ca="1" si="129"/>
        <v>181.26889696997443</v>
      </c>
      <c r="J265" s="306">
        <f t="shared" ca="1" si="130"/>
        <v>27.643265392951506</v>
      </c>
      <c r="K265" s="307">
        <f t="shared" ca="1" si="131"/>
        <v>262.20368771238293</v>
      </c>
      <c r="L265" s="304">
        <f t="shared" ca="1" si="116"/>
        <v>263.65682993534983</v>
      </c>
      <c r="M265" s="306">
        <f t="shared" ca="1" si="132"/>
        <v>1.4588330118898991</v>
      </c>
      <c r="N265" s="304">
        <f t="shared" ca="1" si="133"/>
        <v>83.584974595649456</v>
      </c>
      <c r="P265" s="310">
        <f t="shared" ca="1" si="134"/>
        <v>7</v>
      </c>
      <c r="Q265" s="304">
        <f t="shared" ca="1" si="135"/>
        <v>491.55319148936405</v>
      </c>
      <c r="R265" s="306">
        <f t="shared" ca="1" si="136"/>
        <v>0.24668764449953751</v>
      </c>
      <c r="S265" s="307">
        <f t="shared" ca="1" si="137"/>
        <v>7.622832986419021</v>
      </c>
      <c r="T265" s="304">
        <f t="shared" ca="1" si="117"/>
        <v>74.7799915967706</v>
      </c>
      <c r="U265" s="311">
        <f t="shared" ca="1" si="118"/>
        <v>0</v>
      </c>
      <c r="V265" s="306">
        <f t="shared" ca="1" si="119"/>
        <v>1.1932956975067373</v>
      </c>
      <c r="W265" s="304">
        <f t="shared" ca="1" si="120"/>
        <v>103.65960805699906</v>
      </c>
      <c r="Y265" s="314" t="str">
        <f t="shared" ca="1" si="138"/>
        <v/>
      </c>
      <c r="Z265" s="315" t="str">
        <f t="shared" ca="1" si="139"/>
        <v/>
      </c>
      <c r="AA265" s="316" t="str">
        <f t="shared" ca="1" si="140"/>
        <v/>
      </c>
      <c r="AC265" s="310" t="e">
        <f t="shared" ca="1" si="141"/>
        <v>#N/A</v>
      </c>
      <c r="AD265" s="323" t="e">
        <f t="shared" ca="1" si="142"/>
        <v>#N/A</v>
      </c>
      <c r="AE265" s="324">
        <f t="shared" ca="1" si="121"/>
        <v>262.20368771238293</v>
      </c>
      <c r="AG265" s="306">
        <f t="shared" ca="1" si="143"/>
        <v>41.196412448369884</v>
      </c>
      <c r="AH265" s="304">
        <f t="shared" ca="1" si="144"/>
        <v>50.945054856683704</v>
      </c>
    </row>
    <row r="266" spans="1:34" x14ac:dyDescent="0.2">
      <c r="A266" s="347">
        <f t="shared" ca="1" si="122"/>
        <v>0.01</v>
      </c>
      <c r="B266" s="304">
        <f t="shared" ca="1" si="123"/>
        <v>2.6199999999999881</v>
      </c>
      <c r="D266" s="306">
        <f t="shared" ca="1" si="124"/>
        <v>5.6573264697195409</v>
      </c>
      <c r="E266" s="307">
        <f t="shared" ca="1" si="125"/>
        <v>40.50707948951424</v>
      </c>
      <c r="F266" s="304">
        <f t="shared" ca="1" si="126"/>
        <v>40.900230213958629</v>
      </c>
      <c r="G266" s="306">
        <f t="shared" ca="1" si="127"/>
        <v>20.309663164761393</v>
      </c>
      <c r="H266" s="307">
        <f t="shared" ca="1" si="128"/>
        <v>180.53898031281776</v>
      </c>
      <c r="I266" s="304">
        <f t="shared" ca="1" si="129"/>
        <v>181.67775271138197</v>
      </c>
      <c r="J266" s="306">
        <f t="shared" ca="1" si="130"/>
        <v>27.846079158275632</v>
      </c>
      <c r="K266" s="307">
        <f t="shared" ca="1" si="131"/>
        <v>264.00705216153665</v>
      </c>
      <c r="L266" s="304">
        <f t="shared" ca="1" si="116"/>
        <v>265.47151959393551</v>
      </c>
      <c r="M266" s="306">
        <f t="shared" ca="1" si="132"/>
        <v>1.4587726816215749</v>
      </c>
      <c r="N266" s="304">
        <f t="shared" ca="1" si="133"/>
        <v>83.5815179258976</v>
      </c>
      <c r="P266" s="310">
        <f t="shared" ca="1" si="134"/>
        <v>7</v>
      </c>
      <c r="Q266" s="304">
        <f t="shared" ca="1" si="135"/>
        <v>489.51063829787478</v>
      </c>
      <c r="R266" s="306">
        <f t="shared" ca="1" si="136"/>
        <v>0.24566258221879672</v>
      </c>
      <c r="S266" s="307">
        <f t="shared" ca="1" si="137"/>
        <v>7.6203763605968327</v>
      </c>
      <c r="T266" s="304">
        <f t="shared" ca="1" si="117"/>
        <v>74.755892097454932</v>
      </c>
      <c r="U266" s="311">
        <f t="shared" ca="1" si="118"/>
        <v>0</v>
      </c>
      <c r="V266" s="306">
        <f t="shared" ca="1" si="119"/>
        <v>1.1930804849637686</v>
      </c>
      <c r="W266" s="304">
        <f t="shared" ca="1" si="120"/>
        <v>104.10896860188687</v>
      </c>
      <c r="Y266" s="314" t="str">
        <f t="shared" ca="1" si="138"/>
        <v/>
      </c>
      <c r="Z266" s="315" t="str">
        <f t="shared" ca="1" si="139"/>
        <v/>
      </c>
      <c r="AA266" s="316" t="str">
        <f t="shared" ca="1" si="140"/>
        <v/>
      </c>
      <c r="AC266" s="310" t="e">
        <f t="shared" ca="1" si="141"/>
        <v>#N/A</v>
      </c>
      <c r="AD266" s="323" t="e">
        <f t="shared" ca="1" si="142"/>
        <v>#N/A</v>
      </c>
      <c r="AE266" s="324">
        <f t="shared" ca="1" si="121"/>
        <v>264.00705216153665</v>
      </c>
      <c r="AG266" s="306">
        <f t="shared" ca="1" si="143"/>
        <v>40.885541077752073</v>
      </c>
      <c r="AH266" s="304">
        <f t="shared" ca="1" si="144"/>
        <v>50.634117264341477</v>
      </c>
    </row>
    <row r="267" spans="1:34" x14ac:dyDescent="0.2">
      <c r="A267" s="347">
        <f t="shared" ca="1" si="122"/>
        <v>0.01</v>
      </c>
      <c r="B267" s="304">
        <f t="shared" ca="1" si="123"/>
        <v>2.6299999999999879</v>
      </c>
      <c r="D267" s="306">
        <f t="shared" ca="1" si="124"/>
        <v>5.6256121906566863</v>
      </c>
      <c r="E267" s="307">
        <f t="shared" ca="1" si="125"/>
        <v>40.197835201261348</v>
      </c>
      <c r="F267" s="304">
        <f t="shared" ca="1" si="126"/>
        <v>40.589573382673429</v>
      </c>
      <c r="G267" s="306">
        <f t="shared" ca="1" si="127"/>
        <v>20.36591928666796</v>
      </c>
      <c r="H267" s="307">
        <f t="shared" ca="1" si="128"/>
        <v>180.94095866483036</v>
      </c>
      <c r="I267" s="304">
        <f t="shared" ca="1" si="129"/>
        <v>182.08350060051822</v>
      </c>
      <c r="J267" s="306">
        <f t="shared" ca="1" si="130"/>
        <v>28.049457070532778</v>
      </c>
      <c r="K267" s="307">
        <f t="shared" ca="1" si="131"/>
        <v>265.81445185642491</v>
      </c>
      <c r="L267" s="304">
        <f t="shared" ca="1" si="116"/>
        <v>267.29028201130564</v>
      </c>
      <c r="M267" s="306">
        <f t="shared" ca="1" si="132"/>
        <v>1.4587124534907685</v>
      </c>
      <c r="N267" s="304">
        <f t="shared" ca="1" si="133"/>
        <v>83.578067108194418</v>
      </c>
      <c r="P267" s="310">
        <f t="shared" ca="1" si="134"/>
        <v>7</v>
      </c>
      <c r="Q267" s="304">
        <f t="shared" ca="1" si="135"/>
        <v>487.46808510638544</v>
      </c>
      <c r="R267" s="306">
        <f t="shared" ca="1" si="136"/>
        <v>0.24463751993805591</v>
      </c>
      <c r="S267" s="307">
        <f t="shared" ca="1" si="137"/>
        <v>7.6179299853974518</v>
      </c>
      <c r="T267" s="304">
        <f t="shared" ca="1" si="117"/>
        <v>74.73189315674901</v>
      </c>
      <c r="U267" s="311">
        <f t="shared" ca="1" si="118"/>
        <v>0</v>
      </c>
      <c r="V267" s="306">
        <f t="shared" ca="1" si="119"/>
        <v>1.1928648292870072</v>
      </c>
      <c r="W267" s="304">
        <f t="shared" ca="1" si="120"/>
        <v>104.55560657547164</v>
      </c>
      <c r="Y267" s="314" t="str">
        <f t="shared" ca="1" si="138"/>
        <v/>
      </c>
      <c r="Z267" s="315" t="str">
        <f t="shared" ca="1" si="139"/>
        <v/>
      </c>
      <c r="AA267" s="316" t="str">
        <f t="shared" ca="1" si="140"/>
        <v/>
      </c>
      <c r="AC267" s="310" t="e">
        <f t="shared" ca="1" si="141"/>
        <v>#N/A</v>
      </c>
      <c r="AD267" s="323" t="e">
        <f t="shared" ca="1" si="142"/>
        <v>#N/A</v>
      </c>
      <c r="AE267" s="324">
        <f t="shared" ca="1" si="121"/>
        <v>265.81445185642491</v>
      </c>
      <c r="AG267" s="306">
        <f t="shared" ca="1" si="143"/>
        <v>40.574755888888795</v>
      </c>
      <c r="AH267" s="304">
        <f t="shared" ca="1" si="144"/>
        <v>50.323265931735584</v>
      </c>
    </row>
    <row r="268" spans="1:34" x14ac:dyDescent="0.2">
      <c r="A268" s="347">
        <f t="shared" ca="1" si="122"/>
        <v>0.01</v>
      </c>
      <c r="B268" s="304">
        <f t="shared" ca="1" si="123"/>
        <v>2.6399999999999877</v>
      </c>
      <c r="D268" s="306">
        <f t="shared" ca="1" si="124"/>
        <v>5.5938656619596445</v>
      </c>
      <c r="E268" s="307">
        <f t="shared" ca="1" si="125"/>
        <v>39.888685400360899</v>
      </c>
      <c r="F268" s="304">
        <f t="shared" ca="1" si="126"/>
        <v>40.279008875753334</v>
      </c>
      <c r="G268" s="306">
        <f t="shared" ca="1" si="127"/>
        <v>20.421857943287556</v>
      </c>
      <c r="H268" s="307">
        <f t="shared" ca="1" si="128"/>
        <v>181.33984551883398</v>
      </c>
      <c r="I268" s="304">
        <f t="shared" ca="1" si="129"/>
        <v>182.48614154135208</v>
      </c>
      <c r="J268" s="306">
        <f t="shared" ca="1" si="130"/>
        <v>28.253395956682557</v>
      </c>
      <c r="K268" s="307">
        <f t="shared" ca="1" si="131"/>
        <v>267.62585587734321</v>
      </c>
      <c r="L268" s="304">
        <f t="shared" ca="1" si="116"/>
        <v>269.11308611281908</v>
      </c>
      <c r="M268" s="306">
        <f t="shared" ca="1" si="132"/>
        <v>1.4586523260743816</v>
      </c>
      <c r="N268" s="304">
        <f t="shared" ca="1" si="133"/>
        <v>83.57462206100243</v>
      </c>
      <c r="P268" s="310">
        <f t="shared" ca="1" si="134"/>
        <v>7</v>
      </c>
      <c r="Q268" s="304">
        <f t="shared" ca="1" si="135"/>
        <v>485.42553191489611</v>
      </c>
      <c r="R268" s="306">
        <f t="shared" ca="1" si="136"/>
        <v>0.24361245765731507</v>
      </c>
      <c r="S268" s="307">
        <f t="shared" ca="1" si="137"/>
        <v>7.6154938608208784</v>
      </c>
      <c r="T268" s="304">
        <f t="shared" ca="1" si="117"/>
        <v>74.707994774652818</v>
      </c>
      <c r="U268" s="311">
        <f t="shared" ca="1" si="118"/>
        <v>0</v>
      </c>
      <c r="V268" s="306">
        <f t="shared" ca="1" si="119"/>
        <v>1.1926487344121093</v>
      </c>
      <c r="W268" s="304">
        <f t="shared" ca="1" si="120"/>
        <v>104.99950035386952</v>
      </c>
      <c r="Y268" s="314" t="str">
        <f t="shared" ca="1" si="138"/>
        <v/>
      </c>
      <c r="Z268" s="315" t="str">
        <f t="shared" ca="1" si="139"/>
        <v/>
      </c>
      <c r="AA268" s="316" t="str">
        <f t="shared" ca="1" si="140"/>
        <v/>
      </c>
      <c r="AC268" s="310" t="e">
        <f t="shared" ca="1" si="141"/>
        <v>#N/A</v>
      </c>
      <c r="AD268" s="323" t="e">
        <f t="shared" ca="1" si="142"/>
        <v>#N/A</v>
      </c>
      <c r="AE268" s="324">
        <f t="shared" ca="1" si="121"/>
        <v>267.62585587734321</v>
      </c>
      <c r="AG268" s="306">
        <f t="shared" ca="1" si="143"/>
        <v>40.264061096220992</v>
      </c>
      <c r="AH268" s="304">
        <f t="shared" ca="1" si="144"/>
        <v>50.012505071912734</v>
      </c>
    </row>
    <row r="269" spans="1:34" x14ac:dyDescent="0.2">
      <c r="A269" s="347">
        <f t="shared" ca="1" si="122"/>
        <v>0.01</v>
      </c>
      <c r="B269" s="304">
        <f t="shared" ca="1" si="123"/>
        <v>2.6499999999999875</v>
      </c>
      <c r="D269" s="306">
        <f t="shared" ca="1" si="124"/>
        <v>5.5620875333123365</v>
      </c>
      <c r="E269" s="307">
        <f t="shared" ca="1" si="125"/>
        <v>39.579634226919879</v>
      </c>
      <c r="F269" s="304">
        <f t="shared" ca="1" si="126"/>
        <v>39.968540919890934</v>
      </c>
      <c r="G269" s="306">
        <f t="shared" ca="1" si="127"/>
        <v>20.477478818620678</v>
      </c>
      <c r="H269" s="307">
        <f t="shared" ca="1" si="128"/>
        <v>181.73564186110318</v>
      </c>
      <c r="I269" s="304">
        <f t="shared" ca="1" si="129"/>
        <v>182.88567647969106</v>
      </c>
      <c r="J269" s="306">
        <f t="shared" ca="1" si="130"/>
        <v>28.457892640492098</v>
      </c>
      <c r="K269" s="307">
        <f t="shared" ca="1" si="131"/>
        <v>269.44123331424288</v>
      </c>
      <c r="L269" s="304">
        <f t="shared" ca="1" si="116"/>
        <v>270.93990083307779</v>
      </c>
      <c r="M269" s="306">
        <f t="shared" ca="1" si="132"/>
        <v>1.4585922979633985</v>
      </c>
      <c r="N269" s="304">
        <f t="shared" ca="1" si="133"/>
        <v>83.571182703590949</v>
      </c>
      <c r="P269" s="310">
        <f t="shared" ca="1" si="134"/>
        <v>7</v>
      </c>
      <c r="Q269" s="304">
        <f t="shared" ca="1" si="135"/>
        <v>483.38297872340678</v>
      </c>
      <c r="R269" s="306">
        <f t="shared" ca="1" si="136"/>
        <v>0.24258739537657426</v>
      </c>
      <c r="S269" s="307">
        <f t="shared" ca="1" si="137"/>
        <v>7.6130679868671125</v>
      </c>
      <c r="T269" s="304">
        <f t="shared" ca="1" si="117"/>
        <v>74.684196951166371</v>
      </c>
      <c r="U269" s="311">
        <f t="shared" ca="1" si="118"/>
        <v>0</v>
      </c>
      <c r="V269" s="306">
        <f t="shared" ca="1" si="119"/>
        <v>1.1924322042713777</v>
      </c>
      <c r="W269" s="304">
        <f t="shared" ca="1" si="120"/>
        <v>105.44062858119511</v>
      </c>
      <c r="Y269" s="314" t="str">
        <f t="shared" ca="1" si="138"/>
        <v/>
      </c>
      <c r="Z269" s="315" t="str">
        <f t="shared" ca="1" si="139"/>
        <v/>
      </c>
      <c r="AA269" s="316" t="str">
        <f t="shared" ca="1" si="140"/>
        <v/>
      </c>
      <c r="AC269" s="310" t="e">
        <f t="shared" ca="1" si="141"/>
        <v>#N/A</v>
      </c>
      <c r="AD269" s="323" t="e">
        <f t="shared" ca="1" si="142"/>
        <v>#N/A</v>
      </c>
      <c r="AE269" s="324">
        <f t="shared" ca="1" si="121"/>
        <v>269.44123331424288</v>
      </c>
      <c r="AG269" s="306">
        <f t="shared" ca="1" si="143"/>
        <v>39.953460883619385</v>
      </c>
      <c r="AH269" s="304">
        <f t="shared" ca="1" si="144"/>
        <v>49.701838867361481</v>
      </c>
    </row>
    <row r="270" spans="1:34" x14ac:dyDescent="0.2">
      <c r="A270" s="347">
        <f t="shared" ca="1" si="122"/>
        <v>0.01</v>
      </c>
      <c r="B270" s="304">
        <f t="shared" ca="1" si="123"/>
        <v>2.6599999999999873</v>
      </c>
      <c r="D270" s="306">
        <f t="shared" ca="1" si="124"/>
        <v>5.5302784494589305</v>
      </c>
      <c r="E270" s="307">
        <f t="shared" ca="1" si="125"/>
        <v>39.270685790729729</v>
      </c>
      <c r="F270" s="304">
        <f t="shared" ca="1" si="126"/>
        <v>39.658173712398451</v>
      </c>
      <c r="G270" s="306">
        <f t="shared" ca="1" si="127"/>
        <v>20.532781603115268</v>
      </c>
      <c r="H270" s="307">
        <f t="shared" ca="1" si="128"/>
        <v>182.12834871901046</v>
      </c>
      <c r="I270" s="304">
        <f t="shared" ca="1" si="129"/>
        <v>183.28210640287475</v>
      </c>
      <c r="J270" s="306">
        <f t="shared" ca="1" si="130"/>
        <v>28.662943942600776</v>
      </c>
      <c r="K270" s="307">
        <f t="shared" ca="1" si="131"/>
        <v>271.26055326714345</v>
      </c>
      <c r="L270" s="304">
        <f t="shared" ca="1" si="116"/>
        <v>272.77069511634392</v>
      </c>
      <c r="M270" s="306">
        <f t="shared" ca="1" si="132"/>
        <v>1.4585323677626394</v>
      </c>
      <c r="N270" s="304">
        <f t="shared" ca="1" si="133"/>
        <v>83.567748956022086</v>
      </c>
      <c r="P270" s="310">
        <f t="shared" ca="1" si="134"/>
        <v>7</v>
      </c>
      <c r="Q270" s="304">
        <f t="shared" ca="1" si="135"/>
        <v>481.3404255319175</v>
      </c>
      <c r="R270" s="306">
        <f t="shared" ca="1" si="136"/>
        <v>0.24156233309583347</v>
      </c>
      <c r="S270" s="307">
        <f t="shared" ca="1" si="137"/>
        <v>7.610652363536154</v>
      </c>
      <c r="T270" s="304">
        <f t="shared" ca="1" si="117"/>
        <v>74.660499686289668</v>
      </c>
      <c r="U270" s="311">
        <f t="shared" ca="1" si="118"/>
        <v>0</v>
      </c>
      <c r="V270" s="306">
        <f t="shared" ca="1" si="119"/>
        <v>1.1922152427937005</v>
      </c>
      <c r="W270" s="304">
        <f t="shared" ca="1" si="120"/>
        <v>105.87897016932227</v>
      </c>
      <c r="Y270" s="314" t="str">
        <f t="shared" ca="1" si="138"/>
        <v/>
      </c>
      <c r="Z270" s="315" t="str">
        <f t="shared" ca="1" si="139"/>
        <v/>
      </c>
      <c r="AA270" s="316" t="str">
        <f t="shared" ca="1" si="140"/>
        <v/>
      </c>
      <c r="AC270" s="310" t="e">
        <f t="shared" ca="1" si="141"/>
        <v>#N/A</v>
      </c>
      <c r="AD270" s="323" t="e">
        <f t="shared" ca="1" si="142"/>
        <v>#N/A</v>
      </c>
      <c r="AE270" s="324">
        <f t="shared" ca="1" si="121"/>
        <v>271.26055326714345</v>
      </c>
      <c r="AG270" s="306">
        <f t="shared" ca="1" si="143"/>
        <v>39.642959404308243</v>
      </c>
      <c r="AH270" s="304">
        <f t="shared" ca="1" si="144"/>
        <v>49.391271469935752</v>
      </c>
    </row>
    <row r="271" spans="1:34" x14ac:dyDescent="0.2">
      <c r="A271" s="347">
        <f t="shared" ca="1" si="122"/>
        <v>0.01</v>
      </c>
      <c r="B271" s="304">
        <f t="shared" ca="1" si="123"/>
        <v>2.6699999999999871</v>
      </c>
      <c r="D271" s="306">
        <f t="shared" ca="1" si="124"/>
        <v>5.4984390502175611</v>
      </c>
      <c r="E271" s="307">
        <f t="shared" ca="1" si="125"/>
        <v>38.9618441711917</v>
      </c>
      <c r="F271" s="304">
        <f t="shared" ca="1" si="126"/>
        <v>39.347911421181962</v>
      </c>
      <c r="G271" s="306">
        <f t="shared" ca="1" si="127"/>
        <v>20.587765993617442</v>
      </c>
      <c r="H271" s="307">
        <f t="shared" ca="1" si="128"/>
        <v>182.51796716072238</v>
      </c>
      <c r="I271" s="304">
        <f t="shared" ca="1" si="129"/>
        <v>183.67543233946799</v>
      </c>
      <c r="J271" s="306">
        <f t="shared" ca="1" si="130"/>
        <v>28.868546680584441</v>
      </c>
      <c r="K271" s="307">
        <f t="shared" ca="1" si="131"/>
        <v>273.08378484654213</v>
      </c>
      <c r="L271" s="304">
        <f t="shared" ca="1" si="116"/>
        <v>274.60543791695312</v>
      </c>
      <c r="M271" s="306">
        <f t="shared" ca="1" si="132"/>
        <v>1.4584725340905169</v>
      </c>
      <c r="N271" s="304">
        <f t="shared" ca="1" si="133"/>
        <v>83.564320739136704</v>
      </c>
      <c r="P271" s="310">
        <f t="shared" ca="1" si="134"/>
        <v>7</v>
      </c>
      <c r="Q271" s="304">
        <f t="shared" ca="1" si="135"/>
        <v>479.29787234042817</v>
      </c>
      <c r="R271" s="306">
        <f t="shared" ca="1" si="136"/>
        <v>0.24053727081509266</v>
      </c>
      <c r="S271" s="307">
        <f t="shared" ca="1" si="137"/>
        <v>7.608246990828003</v>
      </c>
      <c r="T271" s="304">
        <f t="shared" ca="1" si="117"/>
        <v>74.636902980022711</v>
      </c>
      <c r="U271" s="311">
        <f t="shared" ca="1" si="118"/>
        <v>0</v>
      </c>
      <c r="V271" s="306">
        <f t="shared" ca="1" si="119"/>
        <v>1.1919978539044898</v>
      </c>
      <c r="W271" s="304">
        <f t="shared" ca="1" si="120"/>
        <v>106.31450429762521</v>
      </c>
      <c r="Y271" s="314" t="str">
        <f t="shared" ca="1" si="138"/>
        <v/>
      </c>
      <c r="Z271" s="315" t="str">
        <f t="shared" ca="1" si="139"/>
        <v/>
      </c>
      <c r="AA271" s="316" t="str">
        <f t="shared" ca="1" si="140"/>
        <v/>
      </c>
      <c r="AC271" s="310" t="e">
        <f t="shared" ca="1" si="141"/>
        <v>#N/A</v>
      </c>
      <c r="AD271" s="323" t="e">
        <f t="shared" ca="1" si="142"/>
        <v>#N/A</v>
      </c>
      <c r="AE271" s="324">
        <f t="shared" ca="1" si="121"/>
        <v>273.08378484654213</v>
      </c>
      <c r="AG271" s="306">
        <f t="shared" ca="1" si="143"/>
        <v>39.332560780792257</v>
      </c>
      <c r="AH271" s="304">
        <f t="shared" ca="1" si="144"/>
        <v>49.080807000781512</v>
      </c>
    </row>
    <row r="272" spans="1:34" x14ac:dyDescent="0.2">
      <c r="A272" s="347">
        <f t="shared" ca="1" si="122"/>
        <v>0.01</v>
      </c>
      <c r="B272" s="304">
        <f t="shared" ca="1" si="123"/>
        <v>2.6799999999999868</v>
      </c>
      <c r="D272" s="306">
        <f t="shared" ca="1" si="124"/>
        <v>5.4665699704938469</v>
      </c>
      <c r="E272" s="307">
        <f t="shared" ca="1" si="125"/>
        <v>38.653113417245272</v>
      </c>
      <c r="F272" s="304">
        <f t="shared" ca="1" si="126"/>
        <v>39.037758184720751</v>
      </c>
      <c r="G272" s="306">
        <f t="shared" ca="1" si="127"/>
        <v>20.642431693322379</v>
      </c>
      <c r="H272" s="307">
        <f t="shared" ca="1" si="128"/>
        <v>182.90449829489484</v>
      </c>
      <c r="I272" s="304">
        <f t="shared" ca="1" si="129"/>
        <v>184.06565535895245</v>
      </c>
      <c r="J272" s="306">
        <f t="shared" ca="1" si="130"/>
        <v>29.074697669019141</v>
      </c>
      <c r="K272" s="307">
        <f t="shared" ca="1" si="131"/>
        <v>274.91089717382022</v>
      </c>
      <c r="L272" s="304">
        <f t="shared" ca="1" si="116"/>
        <v>276.44409819972577</v>
      </c>
      <c r="M272" s="306">
        <f t="shared" ca="1" si="132"/>
        <v>1.4584127955787989</v>
      </c>
      <c r="N272" s="304">
        <f t="shared" ca="1" si="133"/>
        <v>83.560897974540865</v>
      </c>
      <c r="P272" s="310">
        <f t="shared" ca="1" si="134"/>
        <v>7</v>
      </c>
      <c r="Q272" s="304">
        <f t="shared" ca="1" si="135"/>
        <v>477.25531914893884</v>
      </c>
      <c r="R272" s="306">
        <f t="shared" ca="1" si="136"/>
        <v>0.23951220853435182</v>
      </c>
      <c r="S272" s="307">
        <f t="shared" ca="1" si="137"/>
        <v>7.6058518687426595</v>
      </c>
      <c r="T272" s="304">
        <f t="shared" ca="1" si="117"/>
        <v>74.613406832365499</v>
      </c>
      <c r="U272" s="311">
        <f t="shared" ca="1" si="118"/>
        <v>0</v>
      </c>
      <c r="V272" s="306">
        <f t="shared" ca="1" si="119"/>
        <v>1.1917800415256206</v>
      </c>
      <c r="W272" s="304">
        <f t="shared" ca="1" si="120"/>
        <v>106.74721041269792</v>
      </c>
      <c r="Y272" s="314" t="str">
        <f t="shared" ca="1" si="138"/>
        <v/>
      </c>
      <c r="Z272" s="315" t="str">
        <f t="shared" ca="1" si="139"/>
        <v/>
      </c>
      <c r="AA272" s="316" t="str">
        <f t="shared" ca="1" si="140"/>
        <v/>
      </c>
      <c r="AC272" s="310" t="e">
        <f t="shared" ca="1" si="141"/>
        <v>#N/A</v>
      </c>
      <c r="AD272" s="323" t="e">
        <f t="shared" ca="1" si="142"/>
        <v>#N/A</v>
      </c>
      <c r="AE272" s="324">
        <f t="shared" ca="1" si="121"/>
        <v>274.91089717382022</v>
      </c>
      <c r="AG272" s="306">
        <f t="shared" ca="1" si="143"/>
        <v>39.022269104786439</v>
      </c>
      <c r="AH272" s="304">
        <f t="shared" ca="1" si="144"/>
        <v>48.770449550266441</v>
      </c>
    </row>
    <row r="273" spans="1:34" x14ac:dyDescent="0.2">
      <c r="A273" s="347">
        <f t="shared" ca="1" si="122"/>
        <v>0.01</v>
      </c>
      <c r="B273" s="304">
        <f t="shared" ca="1" si="123"/>
        <v>2.6899999999999866</v>
      </c>
      <c r="D273" s="306">
        <f t="shared" ca="1" si="124"/>
        <v>5.4346718402941976</v>
      </c>
      <c r="E273" s="307">
        <f t="shared" ca="1" si="125"/>
        <v>38.344497547300101</v>
      </c>
      <c r="F273" s="304">
        <f t="shared" ca="1" si="126"/>
        <v>38.727718112052386</v>
      </c>
      <c r="G273" s="306">
        <f t="shared" ca="1" si="127"/>
        <v>20.696778411725322</v>
      </c>
      <c r="H273" s="307">
        <f t="shared" ca="1" si="128"/>
        <v>183.28794327036783</v>
      </c>
      <c r="I273" s="304">
        <f t="shared" ca="1" si="129"/>
        <v>184.45277657141853</v>
      </c>
      <c r="J273" s="306">
        <f t="shared" ca="1" si="130"/>
        <v>29.281393719544379</v>
      </c>
      <c r="K273" s="307">
        <f t="shared" ca="1" si="131"/>
        <v>276.74185938164652</v>
      </c>
      <c r="L273" s="304">
        <f t="shared" ca="1" si="116"/>
        <v>278.2866449403744</v>
      </c>
      <c r="M273" s="306">
        <f t="shared" ca="1" si="132"/>
        <v>1.4583531508723744</v>
      </c>
      <c r="N273" s="304">
        <f t="shared" ca="1" si="133"/>
        <v>83.55748058459244</v>
      </c>
      <c r="P273" s="310">
        <f t="shared" ca="1" si="134"/>
        <v>7</v>
      </c>
      <c r="Q273" s="304">
        <f t="shared" ca="1" si="135"/>
        <v>475.21276595744951</v>
      </c>
      <c r="R273" s="306">
        <f t="shared" ca="1" si="136"/>
        <v>0.238487146253611</v>
      </c>
      <c r="S273" s="307">
        <f t="shared" ca="1" si="137"/>
        <v>7.6034669972801234</v>
      </c>
      <c r="T273" s="304">
        <f t="shared" ca="1" si="117"/>
        <v>74.590011243318017</v>
      </c>
      <c r="U273" s="311">
        <f t="shared" ca="1" si="118"/>
        <v>0</v>
      </c>
      <c r="V273" s="306">
        <f t="shared" ca="1" si="119"/>
        <v>1.1915618095753717</v>
      </c>
      <c r="W273" s="304">
        <f t="shared" ca="1" si="120"/>
        <v>107.17706822805542</v>
      </c>
      <c r="Y273" s="314" t="str">
        <f t="shared" ca="1" si="138"/>
        <v/>
      </c>
      <c r="Z273" s="315" t="str">
        <f t="shared" ca="1" si="139"/>
        <v/>
      </c>
      <c r="AA273" s="316" t="str">
        <f t="shared" ca="1" si="140"/>
        <v/>
      </c>
      <c r="AC273" s="310" t="e">
        <f t="shared" ca="1" si="141"/>
        <v>#N/A</v>
      </c>
      <c r="AD273" s="323" t="e">
        <f t="shared" ca="1" si="142"/>
        <v>#N/A</v>
      </c>
      <c r="AE273" s="324">
        <f t="shared" ca="1" si="121"/>
        <v>276.74185938164652</v>
      </c>
      <c r="AG273" s="306">
        <f t="shared" ca="1" si="143"/>
        <v>38.71208843714949</v>
      </c>
      <c r="AH273" s="304">
        <f t="shared" ca="1" si="144"/>
        <v>48.460203177913094</v>
      </c>
    </row>
    <row r="274" spans="1:34" x14ac:dyDescent="0.2">
      <c r="A274" s="347">
        <f t="shared" ca="1" si="122"/>
        <v>0.01</v>
      </c>
      <c r="B274" s="304">
        <f t="shared" ca="1" si="123"/>
        <v>2.6999999999999864</v>
      </c>
      <c r="D274" s="306">
        <f t="shared" ca="1" si="124"/>
        <v>5.4027452847389155</v>
      </c>
      <c r="E274" s="307">
        <f t="shared" ca="1" si="125"/>
        <v>38.036000549170701</v>
      </c>
      <c r="F274" s="304">
        <f t="shared" ca="1" si="126"/>
        <v>38.417795282762938</v>
      </c>
      <c r="G274" s="306">
        <f t="shared" ca="1" si="127"/>
        <v>20.750805864572712</v>
      </c>
      <c r="H274" s="307">
        <f t="shared" ca="1" si="128"/>
        <v>183.66830327585953</v>
      </c>
      <c r="I274" s="304">
        <f t="shared" ca="1" si="129"/>
        <v>184.83679712725575</v>
      </c>
      <c r="J274" s="306">
        <f t="shared" ca="1" si="130"/>
        <v>29.48863164092587</v>
      </c>
      <c r="K274" s="307">
        <f t="shared" ca="1" si="131"/>
        <v>278.57664061437765</v>
      </c>
      <c r="L274" s="304">
        <f t="shared" ca="1" si="116"/>
        <v>280.13304712590826</v>
      </c>
      <c r="M274" s="306">
        <f t="shared" ca="1" si="132"/>
        <v>1.458293598629024</v>
      </c>
      <c r="N274" s="304">
        <f t="shared" ca="1" si="133"/>
        <v>83.554068492387927</v>
      </c>
      <c r="P274" s="310">
        <f t="shared" ca="1" si="134"/>
        <v>7</v>
      </c>
      <c r="Q274" s="304">
        <f t="shared" ca="1" si="135"/>
        <v>473.17021276596023</v>
      </c>
      <c r="R274" s="306">
        <f t="shared" ca="1" si="136"/>
        <v>0.23746208397287022</v>
      </c>
      <c r="S274" s="307">
        <f t="shared" ca="1" si="137"/>
        <v>7.6010923764403948</v>
      </c>
      <c r="T274" s="304">
        <f t="shared" ca="1" si="117"/>
        <v>74.56671621288028</v>
      </c>
      <c r="U274" s="311">
        <f t="shared" ca="1" si="118"/>
        <v>0</v>
      </c>
      <c r="V274" s="306">
        <f t="shared" ca="1" si="119"/>
        <v>1.1913431619683665</v>
      </c>
      <c r="W274" s="304">
        <f t="shared" ca="1" si="120"/>
        <v>107.60405772381381</v>
      </c>
      <c r="Y274" s="314" t="str">
        <f t="shared" ca="1" si="138"/>
        <v/>
      </c>
      <c r="Z274" s="315" t="str">
        <f t="shared" ca="1" si="139"/>
        <v/>
      </c>
      <c r="AA274" s="316" t="str">
        <f t="shared" ca="1" si="140"/>
        <v/>
      </c>
      <c r="AC274" s="310" t="e">
        <f t="shared" ca="1" si="141"/>
        <v>#N/A</v>
      </c>
      <c r="AD274" s="323" t="e">
        <f t="shared" ca="1" si="142"/>
        <v>#N/A</v>
      </c>
      <c r="AE274" s="324">
        <f t="shared" ca="1" si="121"/>
        <v>278.57664061437765</v>
      </c>
      <c r="AG274" s="306">
        <f t="shared" ca="1" si="143"/>
        <v>38.402022807819868</v>
      </c>
      <c r="AH274" s="304">
        <f t="shared" ca="1" si="144"/>
        <v>48.150071912334795</v>
      </c>
    </row>
    <row r="275" spans="1:34" x14ac:dyDescent="0.2">
      <c r="A275" s="347">
        <f t="shared" ca="1" si="122"/>
        <v>0.01</v>
      </c>
      <c r="B275" s="304">
        <f t="shared" ca="1" si="123"/>
        <v>2.7099999999999862</v>
      </c>
      <c r="D275" s="306">
        <f t="shared" ca="1" si="124"/>
        <v>5.370790924075167</v>
      </c>
      <c r="E275" s="307">
        <f t="shared" ca="1" si="125"/>
        <v>37.727626380014563</v>
      </c>
      <c r="F275" s="304">
        <f t="shared" ca="1" si="126"/>
        <v>38.107993746983048</v>
      </c>
      <c r="G275" s="306">
        <f t="shared" ca="1" si="127"/>
        <v>20.804513773813465</v>
      </c>
      <c r="H275" s="307">
        <f t="shared" ca="1" si="128"/>
        <v>184.04557953965968</v>
      </c>
      <c r="I275" s="304">
        <f t="shared" ca="1" si="129"/>
        <v>185.21771821684337</v>
      </c>
      <c r="J275" s="306">
        <f t="shared" ca="1" si="130"/>
        <v>29.696408239117801</v>
      </c>
      <c r="K275" s="307">
        <f t="shared" ca="1" si="131"/>
        <v>280.41521002845525</v>
      </c>
      <c r="L275" s="304">
        <f t="shared" ca="1" si="116"/>
        <v>281.98327375503499</v>
      </c>
      <c r="M275" s="306">
        <f t="shared" ca="1" si="132"/>
        <v>1.4582341375191956</v>
      </c>
      <c r="N275" s="304">
        <f t="shared" ca="1" si="133"/>
        <v>83.550661621749597</v>
      </c>
      <c r="P275" s="310">
        <f t="shared" ca="1" si="134"/>
        <v>7</v>
      </c>
      <c r="Q275" s="304">
        <f t="shared" ca="1" si="135"/>
        <v>471.1276595744709</v>
      </c>
      <c r="R275" s="306">
        <f t="shared" ca="1" si="136"/>
        <v>0.23643702169212941</v>
      </c>
      <c r="S275" s="307">
        <f t="shared" ca="1" si="137"/>
        <v>7.5987280062234737</v>
      </c>
      <c r="T275" s="304">
        <f t="shared" ca="1" si="117"/>
        <v>74.543521741052274</v>
      </c>
      <c r="U275" s="311">
        <f t="shared" ca="1" si="118"/>
        <v>0</v>
      </c>
      <c r="V275" s="306">
        <f t="shared" ca="1" si="119"/>
        <v>1.191124102615513</v>
      </c>
      <c r="W275" s="304">
        <f t="shared" ca="1" si="120"/>
        <v>108.02815914635177</v>
      </c>
      <c r="Y275" s="314" t="str">
        <f t="shared" ca="1" si="138"/>
        <v/>
      </c>
      <c r="Z275" s="315" t="str">
        <f t="shared" ca="1" si="139"/>
        <v/>
      </c>
      <c r="AA275" s="316" t="str">
        <f t="shared" ca="1" si="140"/>
        <v/>
      </c>
      <c r="AC275" s="310" t="e">
        <f t="shared" ca="1" si="141"/>
        <v>#N/A</v>
      </c>
      <c r="AD275" s="323" t="e">
        <f t="shared" ca="1" si="142"/>
        <v>#N/A</v>
      </c>
      <c r="AE275" s="324">
        <f t="shared" ca="1" si="121"/>
        <v>280.41521002845525</v>
      </c>
      <c r="AG275" s="306">
        <f t="shared" ca="1" si="143"/>
        <v>38.092076215755299</v>
      </c>
      <c r="AH275" s="304">
        <f t="shared" ca="1" si="144"/>
        <v>47.840059751174898</v>
      </c>
    </row>
    <row r="276" spans="1:34" x14ac:dyDescent="0.2">
      <c r="A276" s="347">
        <f t="shared" ca="1" si="122"/>
        <v>0.01</v>
      </c>
      <c r="B276" s="304">
        <f t="shared" ca="1" si="123"/>
        <v>2.719999999999986</v>
      </c>
      <c r="D276" s="306">
        <f t="shared" ca="1" si="124"/>
        <v>5.338809373689692</v>
      </c>
      <c r="E276" s="307">
        <f t="shared" ca="1" si="125"/>
        <v>37.4193789662732</v>
      </c>
      <c r="F276" s="304">
        <f t="shared" ca="1" si="126"/>
        <v>37.798317525389486</v>
      </c>
      <c r="G276" s="306">
        <f t="shared" ca="1" si="127"/>
        <v>20.85790186755036</v>
      </c>
      <c r="H276" s="307">
        <f t="shared" ca="1" si="128"/>
        <v>184.41977332932242</v>
      </c>
      <c r="I276" s="304">
        <f t="shared" ca="1" si="129"/>
        <v>185.5955410702397</v>
      </c>
      <c r="J276" s="306">
        <f t="shared" ca="1" si="130"/>
        <v>29.904720317324621</v>
      </c>
      <c r="K276" s="307">
        <f t="shared" ca="1" si="131"/>
        <v>282.25753679280018</v>
      </c>
      <c r="L276" s="304">
        <f t="shared" ca="1" si="116"/>
        <v>283.83729383855876</v>
      </c>
      <c r="M276" s="306">
        <f t="shared" ca="1" si="132"/>
        <v>1.4581747662257842</v>
      </c>
      <c r="N276" s="304">
        <f t="shared" ca="1" si="133"/>
        <v>83.547259897212896</v>
      </c>
      <c r="P276" s="310">
        <f t="shared" ca="1" si="134"/>
        <v>7</v>
      </c>
      <c r="Q276" s="304">
        <f t="shared" ca="1" si="135"/>
        <v>469.08510638298156</v>
      </c>
      <c r="R276" s="306">
        <f t="shared" ca="1" si="136"/>
        <v>0.23541195941138857</v>
      </c>
      <c r="S276" s="307">
        <f t="shared" ca="1" si="137"/>
        <v>7.59637388662936</v>
      </c>
      <c r="T276" s="304">
        <f t="shared" ca="1" si="117"/>
        <v>74.520427827834027</v>
      </c>
      <c r="U276" s="311">
        <f t="shared" ca="1" si="118"/>
        <v>0</v>
      </c>
      <c r="V276" s="306">
        <f t="shared" ca="1" si="119"/>
        <v>1.1909046354239465</v>
      </c>
      <c r="W276" s="304">
        <f t="shared" ca="1" si="120"/>
        <v>108.44935300795201</v>
      </c>
      <c r="Y276" s="314" t="str">
        <f t="shared" ca="1" si="138"/>
        <v/>
      </c>
      <c r="Z276" s="315" t="str">
        <f t="shared" ca="1" si="139"/>
        <v/>
      </c>
      <c r="AA276" s="316" t="str">
        <f t="shared" ca="1" si="140"/>
        <v/>
      </c>
      <c r="AC276" s="310" t="e">
        <f t="shared" ca="1" si="141"/>
        <v>#N/A</v>
      </c>
      <c r="AD276" s="323" t="e">
        <f t="shared" ca="1" si="142"/>
        <v>#N/A</v>
      </c>
      <c r="AE276" s="324">
        <f t="shared" ca="1" si="121"/>
        <v>282.25753679280018</v>
      </c>
      <c r="AG276" s="306">
        <f t="shared" ca="1" si="143"/>
        <v>37.782252628875185</v>
      </c>
      <c r="AH276" s="304">
        <f t="shared" ca="1" si="144"/>
        <v>47.530170661049034</v>
      </c>
    </row>
    <row r="277" spans="1:34" x14ac:dyDescent="0.2">
      <c r="A277" s="347">
        <f t="shared" ca="1" si="122"/>
        <v>0.01</v>
      </c>
      <c r="B277" s="304">
        <f t="shared" ca="1" si="123"/>
        <v>2.7299999999999858</v>
      </c>
      <c r="D277" s="306">
        <f t="shared" ca="1" si="124"/>
        <v>5.3068012441213828</v>
      </c>
      <c r="E277" s="307">
        <f t="shared" ca="1" si="125"/>
        <v>37.111262203616441</v>
      </c>
      <c r="F277" s="304">
        <f t="shared" ca="1" si="126"/>
        <v>37.488770609212814</v>
      </c>
      <c r="G277" s="306">
        <f t="shared" ca="1" si="127"/>
        <v>20.910969879991573</v>
      </c>
      <c r="H277" s="307">
        <f t="shared" ca="1" si="128"/>
        <v>184.79088595135858</v>
      </c>
      <c r="I277" s="304">
        <f t="shared" ca="1" si="129"/>
        <v>185.97026695687117</v>
      </c>
      <c r="J277" s="306">
        <f t="shared" ca="1" si="130"/>
        <v>30.113564676062332</v>
      </c>
      <c r="K277" s="307">
        <f t="shared" ca="1" si="131"/>
        <v>284.10359008920358</v>
      </c>
      <c r="L277" s="304">
        <f t="shared" ca="1" si="116"/>
        <v>285.69507639977559</v>
      </c>
      <c r="M277" s="306">
        <f t="shared" ca="1" si="132"/>
        <v>1.4581154834439143</v>
      </c>
      <c r="N277" s="304">
        <f t="shared" ca="1" si="133"/>
        <v>83.543863244013949</v>
      </c>
      <c r="P277" s="310">
        <f t="shared" ca="1" si="134"/>
        <v>7</v>
      </c>
      <c r="Q277" s="304">
        <f t="shared" ca="1" si="135"/>
        <v>467.04255319149229</v>
      </c>
      <c r="R277" s="306">
        <f t="shared" ca="1" si="136"/>
        <v>0.23438689713064778</v>
      </c>
      <c r="S277" s="307">
        <f t="shared" ca="1" si="137"/>
        <v>7.5940300176580537</v>
      </c>
      <c r="T277" s="304">
        <f t="shared" ca="1" si="117"/>
        <v>74.49743447322551</v>
      </c>
      <c r="U277" s="311">
        <f t="shared" ca="1" si="118"/>
        <v>0</v>
      </c>
      <c r="V277" s="306">
        <f t="shared" ca="1" si="119"/>
        <v>1.1906847642969722</v>
      </c>
      <c r="W277" s="304">
        <f t="shared" ca="1" si="120"/>
        <v>108.86762008642411</v>
      </c>
      <c r="Y277" s="314" t="str">
        <f t="shared" ca="1" si="138"/>
        <v/>
      </c>
      <c r="Z277" s="315" t="str">
        <f t="shared" ca="1" si="139"/>
        <v/>
      </c>
      <c r="AA277" s="316" t="str">
        <f t="shared" ca="1" si="140"/>
        <v/>
      </c>
      <c r="AC277" s="310" t="e">
        <f t="shared" ca="1" si="141"/>
        <v>#N/A</v>
      </c>
      <c r="AD277" s="323" t="e">
        <f t="shared" ca="1" si="142"/>
        <v>#N/A</v>
      </c>
      <c r="AE277" s="324">
        <f t="shared" ca="1" si="121"/>
        <v>284.10359008920358</v>
      </c>
      <c r="AG277" s="306">
        <f t="shared" ca="1" si="143"/>
        <v>37.472555984006171</v>
      </c>
      <c r="AH277" s="304">
        <f t="shared" ca="1" si="144"/>
        <v>47.220408577490446</v>
      </c>
    </row>
    <row r="278" spans="1:34" x14ac:dyDescent="0.2">
      <c r="A278" s="347">
        <f t="shared" ca="1" si="122"/>
        <v>0.01</v>
      </c>
      <c r="B278" s="304">
        <f t="shared" ca="1" si="123"/>
        <v>2.7399999999999856</v>
      </c>
      <c r="D278" s="306">
        <f t="shared" ca="1" si="124"/>
        <v>5.2747671410737551</v>
      </c>
      <c r="E278" s="307">
        <f t="shared" ca="1" si="125"/>
        <v>36.803279956889646</v>
      </c>
      <c r="F278" s="304">
        <f t="shared" ca="1" si="126"/>
        <v>37.179356960250757</v>
      </c>
      <c r="G278" s="306">
        <f t="shared" ca="1" si="127"/>
        <v>20.963717551402311</v>
      </c>
      <c r="H278" s="307">
        <f t="shared" ca="1" si="128"/>
        <v>185.15891875092748</v>
      </c>
      <c r="I278" s="304">
        <f t="shared" ca="1" si="129"/>
        <v>186.34189718522117</v>
      </c>
      <c r="J278" s="306">
        <f t="shared" ca="1" si="130"/>
        <v>30.322938113219301</v>
      </c>
      <c r="K278" s="307">
        <f t="shared" ca="1" si="131"/>
        <v>285.95333911271501</v>
      </c>
      <c r="L278" s="304">
        <f t="shared" ca="1" si="116"/>
        <v>287.55659047486552</v>
      </c>
      <c r="M278" s="306">
        <f t="shared" ca="1" si="132"/>
        <v>1.4580562878807279</v>
      </c>
      <c r="N278" s="304">
        <f t="shared" ca="1" si="133"/>
        <v>83.54047158807748</v>
      </c>
      <c r="P278" s="310">
        <f t="shared" ca="1" si="134"/>
        <v>7</v>
      </c>
      <c r="Q278" s="304">
        <f t="shared" ca="1" si="135"/>
        <v>465.00000000000296</v>
      </c>
      <c r="R278" s="306">
        <f t="shared" ca="1" si="136"/>
        <v>0.23336183484990697</v>
      </c>
      <c r="S278" s="307">
        <f t="shared" ca="1" si="137"/>
        <v>7.591696399309555</v>
      </c>
      <c r="T278" s="304">
        <f t="shared" ca="1" si="117"/>
        <v>74.474541677226739</v>
      </c>
      <c r="U278" s="311">
        <f t="shared" ca="1" si="118"/>
        <v>0</v>
      </c>
      <c r="V278" s="306">
        <f t="shared" ca="1" si="119"/>
        <v>1.1904644931340067</v>
      </c>
      <c r="W278" s="304">
        <f t="shared" ca="1" si="120"/>
        <v>109.2829414247085</v>
      </c>
      <c r="Y278" s="314" t="str">
        <f t="shared" ca="1" si="138"/>
        <v/>
      </c>
      <c r="Z278" s="315" t="str">
        <f t="shared" ca="1" si="139"/>
        <v/>
      </c>
      <c r="AA278" s="316" t="str">
        <f t="shared" ca="1" si="140"/>
        <v/>
      </c>
      <c r="AC278" s="310" t="e">
        <f t="shared" ca="1" si="141"/>
        <v>#N/A</v>
      </c>
      <c r="AD278" s="323" t="e">
        <f t="shared" ca="1" si="142"/>
        <v>#N/A</v>
      </c>
      <c r="AE278" s="324">
        <f t="shared" ca="1" si="121"/>
        <v>285.95333911271501</v>
      </c>
      <c r="AG278" s="306">
        <f t="shared" ca="1" si="143"/>
        <v>37.162990186830648</v>
      </c>
      <c r="AH278" s="304">
        <f t="shared" ca="1" si="144"/>
        <v>46.910777404898354</v>
      </c>
    </row>
    <row r="279" spans="1:34" x14ac:dyDescent="0.2">
      <c r="A279" s="347">
        <f t="shared" ca="1" si="122"/>
        <v>0.01</v>
      </c>
      <c r="B279" s="304">
        <f t="shared" ca="1" si="123"/>
        <v>2.7499999999999853</v>
      </c>
      <c r="D279" s="306">
        <f t="shared" ca="1" si="124"/>
        <v>5.2427076654272078</v>
      </c>
      <c r="E279" s="307">
        <f t="shared" ca="1" si="125"/>
        <v>36.495436060064037</v>
      </c>
      <c r="F279" s="304">
        <f t="shared" ca="1" si="126"/>
        <v>36.870080510887846</v>
      </c>
      <c r="G279" s="306">
        <f t="shared" ca="1" si="127"/>
        <v>21.016144628056583</v>
      </c>
      <c r="H279" s="307">
        <f t="shared" ca="1" si="128"/>
        <v>185.52387311152813</v>
      </c>
      <c r="I279" s="304">
        <f t="shared" ca="1" si="129"/>
        <v>186.71043310251781</v>
      </c>
      <c r="J279" s="306">
        <f t="shared" ca="1" si="130"/>
        <v>30.532837424116597</v>
      </c>
      <c r="K279" s="307">
        <f t="shared" ca="1" si="131"/>
        <v>287.80675307202728</v>
      </c>
      <c r="L279" s="304">
        <f t="shared" ca="1" si="116"/>
        <v>289.42180511328172</v>
      </c>
      <c r="M279" s="306">
        <f t="shared" ca="1" si="132"/>
        <v>1.4579971782551762</v>
      </c>
      <c r="N279" s="304">
        <f t="shared" ca="1" si="133"/>
        <v>83.537084856004753</v>
      </c>
      <c r="P279" s="310">
        <f t="shared" ca="1" si="134"/>
        <v>7</v>
      </c>
      <c r="Q279" s="304">
        <f t="shared" ca="1" si="135"/>
        <v>462.95744680851362</v>
      </c>
      <c r="R279" s="306">
        <f t="shared" ca="1" si="136"/>
        <v>0.23233677256916616</v>
      </c>
      <c r="S279" s="307">
        <f t="shared" ca="1" si="137"/>
        <v>7.5893730315838637</v>
      </c>
      <c r="T279" s="304">
        <f t="shared" ca="1" si="117"/>
        <v>74.451749439837712</v>
      </c>
      <c r="U279" s="311">
        <f t="shared" ca="1" si="118"/>
        <v>0</v>
      </c>
      <c r="V279" s="306">
        <f t="shared" ca="1" si="119"/>
        <v>1.1902438258305226</v>
      </c>
      <c r="W279" s="304">
        <f t="shared" ca="1" si="120"/>
        <v>109.6952983304613</v>
      </c>
      <c r="Y279" s="314" t="str">
        <f t="shared" ca="1" si="138"/>
        <v/>
      </c>
      <c r="Z279" s="315" t="str">
        <f t="shared" ca="1" si="139"/>
        <v/>
      </c>
      <c r="AA279" s="316" t="str">
        <f t="shared" ca="1" si="140"/>
        <v/>
      </c>
      <c r="AC279" s="310" t="e">
        <f t="shared" ca="1" si="141"/>
        <v>#N/A</v>
      </c>
      <c r="AD279" s="323" t="e">
        <f t="shared" ca="1" si="142"/>
        <v>#N/A</v>
      </c>
      <c r="AE279" s="324">
        <f t="shared" ca="1" si="121"/>
        <v>287.80675307202728</v>
      </c>
      <c r="AG279" s="306">
        <f t="shared" ca="1" si="143"/>
        <v>36.853559111838358</v>
      </c>
      <c r="AH279" s="304">
        <f t="shared" ca="1" si="144"/>
        <v>46.601281016489324</v>
      </c>
    </row>
    <row r="280" spans="1:34" x14ac:dyDescent="0.2">
      <c r="A280" s="347">
        <f t="shared" ca="1" si="122"/>
        <v>0.01</v>
      </c>
      <c r="B280" s="304">
        <f t="shared" ca="1" si="123"/>
        <v>2.7599999999999851</v>
      </c>
      <c r="D280" s="306">
        <f t="shared" ca="1" si="124"/>
        <v>5.2106234132511853</v>
      </c>
      <c r="E280" s="307">
        <f t="shared" ca="1" si="125"/>
        <v>36.187734316190046</v>
      </c>
      <c r="F280" s="304">
        <f t="shared" ca="1" si="126"/>
        <v>36.560945164121236</v>
      </c>
      <c r="G280" s="306">
        <f t="shared" ca="1" si="127"/>
        <v>21.068250862189096</v>
      </c>
      <c r="H280" s="307">
        <f t="shared" ca="1" si="128"/>
        <v>185.88575045469003</v>
      </c>
      <c r="I280" s="304">
        <f t="shared" ca="1" si="129"/>
        <v>187.07587609442172</v>
      </c>
      <c r="J280" s="306">
        <f t="shared" ca="1" si="130"/>
        <v>30.743259401567826</v>
      </c>
      <c r="K280" s="307">
        <f t="shared" ca="1" si="131"/>
        <v>289.66380118985836</v>
      </c>
      <c r="L280" s="304">
        <f t="shared" ca="1" si="116"/>
        <v>291.29068937813628</v>
      </c>
      <c r="M280" s="306">
        <f t="shared" ca="1" si="132"/>
        <v>1.4579381532978142</v>
      </c>
      <c r="N280" s="304">
        <f t="shared" ca="1" si="133"/>
        <v>83.533702975061971</v>
      </c>
      <c r="P280" s="310">
        <f t="shared" ca="1" si="134"/>
        <v>7</v>
      </c>
      <c r="Q280" s="304">
        <f t="shared" ca="1" si="135"/>
        <v>460.91489361702429</v>
      </c>
      <c r="R280" s="306">
        <f t="shared" ca="1" si="136"/>
        <v>0.23131171028842534</v>
      </c>
      <c r="S280" s="307">
        <f t="shared" ca="1" si="137"/>
        <v>7.5870599144809798</v>
      </c>
      <c r="T280" s="304">
        <f t="shared" ca="1" si="117"/>
        <v>74.429057761058417</v>
      </c>
      <c r="U280" s="311">
        <f t="shared" ca="1" si="118"/>
        <v>0</v>
      </c>
      <c r="V280" s="306">
        <f t="shared" ca="1" si="119"/>
        <v>1.1900227662779936</v>
      </c>
      <c r="W280" s="304">
        <f t="shared" ca="1" si="120"/>
        <v>110.10467237562153</v>
      </c>
      <c r="Y280" s="314" t="str">
        <f t="shared" ca="1" si="138"/>
        <v/>
      </c>
      <c r="Z280" s="315" t="str">
        <f t="shared" ca="1" si="139"/>
        <v/>
      </c>
      <c r="AA280" s="316" t="str">
        <f t="shared" ca="1" si="140"/>
        <v/>
      </c>
      <c r="AC280" s="310" t="e">
        <f t="shared" ca="1" si="141"/>
        <v>#N/A</v>
      </c>
      <c r="AD280" s="323" t="e">
        <f t="shared" ca="1" si="142"/>
        <v>#N/A</v>
      </c>
      <c r="AE280" s="324">
        <f t="shared" ca="1" si="121"/>
        <v>289.66380118985836</v>
      </c>
      <c r="AG280" s="306">
        <f t="shared" ca="1" si="143"/>
        <v>36.544266602280985</v>
      </c>
      <c r="AH280" s="304">
        <f t="shared" ca="1" si="144"/>
        <v>46.291923254251699</v>
      </c>
    </row>
    <row r="281" spans="1:34" x14ac:dyDescent="0.2">
      <c r="A281" s="347">
        <f t="shared" ca="1" si="122"/>
        <v>0.01</v>
      </c>
      <c r="B281" s="304">
        <f t="shared" ca="1" si="123"/>
        <v>2.7699999999999849</v>
      </c>
      <c r="D281" s="306">
        <f t="shared" ca="1" si="124"/>
        <v>5.1785149758161957</v>
      </c>
      <c r="E281" s="307">
        <f t="shared" ca="1" si="125"/>
        <v>35.880178497353668</v>
      </c>
      <c r="F281" s="304">
        <f t="shared" ca="1" si="126"/>
        <v>36.251954793593036</v>
      </c>
      <c r="G281" s="306">
        <f t="shared" ca="1" si="127"/>
        <v>21.120036011947256</v>
      </c>
      <c r="H281" s="307">
        <f t="shared" ca="1" si="128"/>
        <v>186.24455223966356</v>
      </c>
      <c r="I281" s="304">
        <f t="shared" ca="1" si="129"/>
        <v>187.43822758471313</v>
      </c>
      <c r="J281" s="306">
        <f t="shared" ca="1" si="130"/>
        <v>30.954200835938508</v>
      </c>
      <c r="K281" s="307">
        <f t="shared" ca="1" si="131"/>
        <v>291.52445270333016</v>
      </c>
      <c r="L281" s="304">
        <f t="shared" ca="1" si="116"/>
        <v>293.16321234658312</v>
      </c>
      <c r="M281" s="306">
        <f t="shared" ca="1" si="132"/>
        <v>1.4578792117506003</v>
      </c>
      <c r="N281" s="304">
        <f t="shared" ca="1" si="133"/>
        <v>83.53032587316865</v>
      </c>
      <c r="P281" s="310">
        <f t="shared" ca="1" si="134"/>
        <v>7</v>
      </c>
      <c r="Q281" s="304">
        <f t="shared" ca="1" si="135"/>
        <v>458.87234042553501</v>
      </c>
      <c r="R281" s="306">
        <f t="shared" ca="1" si="136"/>
        <v>0.23028664800768453</v>
      </c>
      <c r="S281" s="307">
        <f t="shared" ca="1" si="137"/>
        <v>7.5847570480009026</v>
      </c>
      <c r="T281" s="304">
        <f t="shared" ca="1" si="117"/>
        <v>74.406466640888851</v>
      </c>
      <c r="U281" s="311">
        <f t="shared" ca="1" si="118"/>
        <v>0</v>
      </c>
      <c r="V281" s="306">
        <f t="shared" ca="1" si="119"/>
        <v>1.189801318363835</v>
      </c>
      <c r="W281" s="304">
        <f t="shared" ca="1" si="120"/>
        <v>110.51104539595902</v>
      </c>
      <c r="Y281" s="314" t="str">
        <f t="shared" ca="1" si="138"/>
        <v/>
      </c>
      <c r="Z281" s="315" t="str">
        <f t="shared" ca="1" si="139"/>
        <v/>
      </c>
      <c r="AA281" s="316" t="str">
        <f t="shared" ca="1" si="140"/>
        <v/>
      </c>
      <c r="AC281" s="310" t="e">
        <f t="shared" ca="1" si="141"/>
        <v>#N/A</v>
      </c>
      <c r="AD281" s="323" t="e">
        <f t="shared" ca="1" si="142"/>
        <v>#N/A</v>
      </c>
      <c r="AE281" s="324">
        <f t="shared" ca="1" si="121"/>
        <v>291.52445270333016</v>
      </c>
      <c r="AG281" s="306">
        <f t="shared" ca="1" si="143"/>
        <v>36.235116470129675</v>
      </c>
      <c r="AH281" s="304">
        <f t="shared" ca="1" si="144"/>
        <v>45.982707928902933</v>
      </c>
    </row>
    <row r="282" spans="1:34" x14ac:dyDescent="0.2">
      <c r="A282" s="347">
        <f t="shared" ca="1" si="122"/>
        <v>0.01</v>
      </c>
      <c r="B282" s="304">
        <f t="shared" ca="1" si="123"/>
        <v>2.7799999999999847</v>
      </c>
      <c r="D282" s="306">
        <f t="shared" ca="1" si="124"/>
        <v>5.146382939605723</v>
      </c>
      <c r="E282" s="307">
        <f t="shared" ca="1" si="125"/>
        <v>35.572772344635766</v>
      </c>
      <c r="F282" s="304">
        <f t="shared" ca="1" si="126"/>
        <v>35.943113243629135</v>
      </c>
      <c r="G282" s="306">
        <f t="shared" ca="1" si="127"/>
        <v>21.171499841343312</v>
      </c>
      <c r="H282" s="307">
        <f t="shared" ca="1" si="128"/>
        <v>186.60027996310993</v>
      </c>
      <c r="I282" s="304">
        <f t="shared" ca="1" si="129"/>
        <v>187.79748903497887</v>
      </c>
      <c r="J282" s="306">
        <f t="shared" ca="1" si="130"/>
        <v>31.16565851520496</v>
      </c>
      <c r="K282" s="307">
        <f t="shared" ca="1" si="131"/>
        <v>293.38867686434401</v>
      </c>
      <c r="L282" s="304">
        <f t="shared" ca="1" si="116"/>
        <v>295.03934311019748</v>
      </c>
      <c r="M282" s="306">
        <f t="shared" ca="1" si="132"/>
        <v>1.4578203523666988</v>
      </c>
      <c r="N282" s="304">
        <f t="shared" ca="1" si="133"/>
        <v>83.526953478886355</v>
      </c>
      <c r="P282" s="310">
        <f t="shared" ca="1" si="134"/>
        <v>7</v>
      </c>
      <c r="Q282" s="304">
        <f t="shared" ca="1" si="135"/>
        <v>456.82978723404568</v>
      </c>
      <c r="R282" s="306">
        <f t="shared" ca="1" si="136"/>
        <v>0.22926158572694372</v>
      </c>
      <c r="S282" s="307">
        <f t="shared" ca="1" si="137"/>
        <v>7.5824644321436327</v>
      </c>
      <c r="T282" s="304">
        <f t="shared" ca="1" si="117"/>
        <v>74.383976079329045</v>
      </c>
      <c r="U282" s="311">
        <f t="shared" ca="1" si="118"/>
        <v>0</v>
      </c>
      <c r="V282" s="306">
        <f t="shared" ca="1" si="119"/>
        <v>1.1895794859713542</v>
      </c>
      <c r="W282" s="304">
        <f t="shared" ca="1" si="120"/>
        <v>110.91439949060572</v>
      </c>
      <c r="Y282" s="314" t="str">
        <f t="shared" ca="1" si="138"/>
        <v/>
      </c>
      <c r="Z282" s="315" t="str">
        <f t="shared" ca="1" si="139"/>
        <v/>
      </c>
      <c r="AA282" s="316" t="str">
        <f t="shared" ca="1" si="140"/>
        <v/>
      </c>
      <c r="AC282" s="310" t="e">
        <f t="shared" ca="1" si="141"/>
        <v>#N/A</v>
      </c>
      <c r="AD282" s="323" t="e">
        <f t="shared" ca="1" si="142"/>
        <v>#N/A</v>
      </c>
      <c r="AE282" s="324">
        <f t="shared" ca="1" si="121"/>
        <v>293.38867686434401</v>
      </c>
      <c r="AG282" s="306">
        <f t="shared" ca="1" si="143"/>
        <v>35.92611249603555</v>
      </c>
      <c r="AH282" s="304">
        <f t="shared" ca="1" si="144"/>
        <v>45.67363881984992</v>
      </c>
    </row>
    <row r="283" spans="1:34" x14ac:dyDescent="0.2">
      <c r="A283" s="347">
        <f t="shared" ca="1" si="122"/>
        <v>0.01</v>
      </c>
      <c r="B283" s="304">
        <f t="shared" ca="1" si="123"/>
        <v>2.7899999999999845</v>
      </c>
      <c r="D283" s="306">
        <f t="shared" ca="1" si="124"/>
        <v>5.1142278863280177</v>
      </c>
      <c r="E283" s="307">
        <f t="shared" ca="1" si="125"/>
        <v>35.265519568074311</v>
      </c>
      <c r="F283" s="304">
        <f t="shared" ca="1" si="126"/>
        <v>35.63442432928484</v>
      </c>
      <c r="G283" s="306">
        <f t="shared" ca="1" si="127"/>
        <v>21.222642120206594</v>
      </c>
      <c r="H283" s="307">
        <f t="shared" ca="1" si="128"/>
        <v>186.95293515879067</v>
      </c>
      <c r="I283" s="304">
        <f t="shared" ca="1" si="129"/>
        <v>188.15366194429848</v>
      </c>
      <c r="J283" s="306">
        <f t="shared" ca="1" si="130"/>
        <v>31.377629225012711</v>
      </c>
      <c r="K283" s="307">
        <f t="shared" ca="1" si="131"/>
        <v>295.2564429399535</v>
      </c>
      <c r="L283" s="304">
        <f t="shared" ca="1" si="116"/>
        <v>296.91905077535256</v>
      </c>
      <c r="M283" s="306">
        <f t="shared" ca="1" si="132"/>
        <v>1.4577615739102852</v>
      </c>
      <c r="N283" s="304">
        <f t="shared" ca="1" si="133"/>
        <v>83.523585721407557</v>
      </c>
      <c r="P283" s="310">
        <f t="shared" ca="1" si="134"/>
        <v>7</v>
      </c>
      <c r="Q283" s="304">
        <f t="shared" ca="1" si="135"/>
        <v>454.78723404255635</v>
      </c>
      <c r="R283" s="306">
        <f t="shared" ca="1" si="136"/>
        <v>0.2282365234462029</v>
      </c>
      <c r="S283" s="307">
        <f t="shared" ca="1" si="137"/>
        <v>7.5801820669091704</v>
      </c>
      <c r="T283" s="304">
        <f t="shared" ca="1" si="117"/>
        <v>74.36158607637897</v>
      </c>
      <c r="U283" s="311">
        <f t="shared" ca="1" si="118"/>
        <v>0</v>
      </c>
      <c r="V283" s="306">
        <f t="shared" ca="1" si="119"/>
        <v>1.1893572729796906</v>
      </c>
      <c r="W283" s="304">
        <f t="shared" ca="1" si="120"/>
        <v>111.31471702156767</v>
      </c>
      <c r="Y283" s="314" t="str">
        <f t="shared" ca="1" si="138"/>
        <v/>
      </c>
      <c r="Z283" s="315" t="str">
        <f t="shared" ca="1" si="139"/>
        <v/>
      </c>
      <c r="AA283" s="316" t="str">
        <f t="shared" ca="1" si="140"/>
        <v/>
      </c>
      <c r="AC283" s="310" t="e">
        <f t="shared" ca="1" si="141"/>
        <v>#N/A</v>
      </c>
      <c r="AD283" s="323" t="e">
        <f t="shared" ca="1" si="142"/>
        <v>#N/A</v>
      </c>
      <c r="AE283" s="324">
        <f t="shared" ca="1" si="121"/>
        <v>295.2564429399535</v>
      </c>
      <c r="AG283" s="306">
        <f t="shared" ca="1" si="143"/>
        <v>35.61725842929313</v>
      </c>
      <c r="AH283" s="304">
        <f t="shared" ca="1" si="144"/>
        <v>45.364719675152244</v>
      </c>
    </row>
    <row r="284" spans="1:34" x14ac:dyDescent="0.2">
      <c r="A284" s="347">
        <f t="shared" ca="1" si="122"/>
        <v>0.01</v>
      </c>
      <c r="B284" s="304">
        <f t="shared" ca="1" si="123"/>
        <v>2.7999999999999843</v>
      </c>
      <c r="D284" s="306">
        <f t="shared" ca="1" si="124"/>
        <v>5.0820503929278429</v>
      </c>
      <c r="E284" s="307">
        <f t="shared" ca="1" si="125"/>
        <v>34.958423846629721</v>
      </c>
      <c r="F284" s="304">
        <f t="shared" ca="1" si="126"/>
        <v>35.325891836397673</v>
      </c>
      <c r="G284" s="306">
        <f t="shared" ca="1" si="127"/>
        <v>21.27346262413587</v>
      </c>
      <c r="H284" s="307">
        <f t="shared" ca="1" si="128"/>
        <v>187.30251939725696</v>
      </c>
      <c r="I284" s="304">
        <f t="shared" ca="1" si="129"/>
        <v>188.50674784893067</v>
      </c>
      <c r="J284" s="306">
        <f t="shared" ca="1" si="130"/>
        <v>31.590109748734424</v>
      </c>
      <c r="K284" s="307">
        <f t="shared" ca="1" si="131"/>
        <v>297.12772021273372</v>
      </c>
      <c r="L284" s="304">
        <f t="shared" ca="1" si="116"/>
        <v>298.80230446359286</v>
      </c>
      <c r="M284" s="306">
        <f t="shared" ca="1" si="132"/>
        <v>1.457702875156357</v>
      </c>
      <c r="N284" s="304">
        <f t="shared" ca="1" si="133"/>
        <v>83.5202225305448</v>
      </c>
      <c r="P284" s="310">
        <f t="shared" ca="1" si="134"/>
        <v>7</v>
      </c>
      <c r="Q284" s="304">
        <f t="shared" ca="1" si="135"/>
        <v>452.74468085106707</v>
      </c>
      <c r="R284" s="306">
        <f t="shared" ca="1" si="136"/>
        <v>0.22721146116546212</v>
      </c>
      <c r="S284" s="307">
        <f t="shared" ca="1" si="137"/>
        <v>7.5779099522975155</v>
      </c>
      <c r="T284" s="304">
        <f t="shared" ca="1" si="117"/>
        <v>74.339296632038625</v>
      </c>
      <c r="U284" s="311">
        <f t="shared" ca="1" si="118"/>
        <v>0</v>
      </c>
      <c r="V284" s="306">
        <f t="shared" ca="1" si="119"/>
        <v>1.1891346832637673</v>
      </c>
      <c r="W284" s="304">
        <f t="shared" ca="1" si="120"/>
        <v>111.71198061322119</v>
      </c>
      <c r="Y284" s="314" t="str">
        <f t="shared" ca="1" si="138"/>
        <v/>
      </c>
      <c r="Z284" s="315" t="str">
        <f t="shared" ca="1" si="139"/>
        <v/>
      </c>
      <c r="AA284" s="316" t="str">
        <f t="shared" ca="1" si="140"/>
        <v/>
      </c>
      <c r="AC284" s="310" t="e">
        <f t="shared" ca="1" si="141"/>
        <v>#N/A</v>
      </c>
      <c r="AD284" s="323" t="e">
        <f t="shared" ca="1" si="142"/>
        <v>#N/A</v>
      </c>
      <c r="AE284" s="324">
        <f t="shared" ca="1" si="121"/>
        <v>297.12772021273372</v>
      </c>
      <c r="AG284" s="306">
        <f t="shared" ca="1" si="143"/>
        <v>35.308557987806751</v>
      </c>
      <c r="AH284" s="304">
        <f t="shared" ca="1" si="144"/>
        <v>45.055954211488441</v>
      </c>
    </row>
    <row r="285" spans="1:34" x14ac:dyDescent="0.2">
      <c r="A285" s="347">
        <f t="shared" ca="1" si="122"/>
        <v>0.01</v>
      </c>
      <c r="B285" s="304">
        <f t="shared" ca="1" si="123"/>
        <v>2.8099999999999841</v>
      </c>
      <c r="D285" s="306">
        <f t="shared" ca="1" si="124"/>
        <v>5.049851031598009</v>
      </c>
      <c r="E285" s="307">
        <f t="shared" ca="1" si="125"/>
        <v>34.6514888281528</v>
      </c>
      <c r="F285" s="304">
        <f t="shared" ca="1" si="126"/>
        <v>35.017519521647017</v>
      </c>
      <c r="G285" s="306">
        <f t="shared" ca="1" si="127"/>
        <v>21.323961134451849</v>
      </c>
      <c r="H285" s="307">
        <f t="shared" ca="1" si="128"/>
        <v>187.64903428553848</v>
      </c>
      <c r="I285" s="304">
        <f t="shared" ca="1" si="129"/>
        <v>188.85674832199882</v>
      </c>
      <c r="J285" s="306">
        <f t="shared" ca="1" si="130"/>
        <v>31.803096867527362</v>
      </c>
      <c r="K285" s="307">
        <f t="shared" ca="1" si="131"/>
        <v>299.00247798114771</v>
      </c>
      <c r="L285" s="304">
        <f t="shared" ca="1" si="116"/>
        <v>300.68907331200455</v>
      </c>
      <c r="M285" s="306">
        <f t="shared" ca="1" si="132"/>
        <v>1.4576442548905462</v>
      </c>
      <c r="N285" s="304">
        <f t="shared" ca="1" si="133"/>
        <v>83.516863836719907</v>
      </c>
      <c r="P285" s="310">
        <f t="shared" ca="1" si="134"/>
        <v>7</v>
      </c>
      <c r="Q285" s="304">
        <f t="shared" ca="1" si="135"/>
        <v>450.70212765957774</v>
      </c>
      <c r="R285" s="306">
        <f t="shared" ca="1" si="136"/>
        <v>0.22618639888472128</v>
      </c>
      <c r="S285" s="307">
        <f t="shared" ca="1" si="137"/>
        <v>7.5756480883086681</v>
      </c>
      <c r="T285" s="304">
        <f t="shared" ca="1" si="117"/>
        <v>74.317107746308039</v>
      </c>
      <c r="U285" s="311">
        <f t="shared" ca="1" si="118"/>
        <v>0</v>
      </c>
      <c r="V285" s="306">
        <f t="shared" ca="1" si="119"/>
        <v>1.1889117206942346</v>
      </c>
      <c r="W285" s="304">
        <f t="shared" ca="1" si="120"/>
        <v>112.10617315179012</v>
      </c>
      <c r="Y285" s="314" t="str">
        <f t="shared" ca="1" si="138"/>
        <v/>
      </c>
      <c r="Z285" s="315" t="str">
        <f t="shared" ca="1" si="139"/>
        <v/>
      </c>
      <c r="AA285" s="316" t="str">
        <f t="shared" ca="1" si="140"/>
        <v/>
      </c>
      <c r="AC285" s="310" t="e">
        <f t="shared" ca="1" si="141"/>
        <v>#N/A</v>
      </c>
      <c r="AD285" s="323" t="e">
        <f t="shared" ca="1" si="142"/>
        <v>#N/A</v>
      </c>
      <c r="AE285" s="324">
        <f t="shared" ca="1" si="121"/>
        <v>299.00247798114771</v>
      </c>
      <c r="AG285" s="306">
        <f t="shared" ca="1" si="143"/>
        <v>35.000014858059657</v>
      </c>
      <c r="AH285" s="304">
        <f t="shared" ca="1" si="144"/>
        <v>44.747346114124895</v>
      </c>
    </row>
    <row r="286" spans="1:34" x14ac:dyDescent="0.2">
      <c r="A286" s="347">
        <f t="shared" ca="1" si="122"/>
        <v>0.01</v>
      </c>
      <c r="B286" s="304">
        <f t="shared" ca="1" si="123"/>
        <v>2.8199999999999839</v>
      </c>
      <c r="D286" s="306">
        <f t="shared" ca="1" si="124"/>
        <v>5.0176303697909512</v>
      </c>
      <c r="E286" s="307">
        <f t="shared" ca="1" si="125"/>
        <v>34.344718129355876</v>
      </c>
      <c r="F286" s="304">
        <f t="shared" ca="1" si="126"/>
        <v>34.709311112621563</v>
      </c>
      <c r="G286" s="306">
        <f t="shared" ca="1" si="127"/>
        <v>21.374137438149759</v>
      </c>
      <c r="H286" s="307">
        <f t="shared" ca="1" si="128"/>
        <v>187.99248146683203</v>
      </c>
      <c r="I286" s="304">
        <f t="shared" ca="1" si="129"/>
        <v>189.20366497317673</v>
      </c>
      <c r="J286" s="306">
        <f t="shared" ca="1" si="130"/>
        <v>32.016587360390368</v>
      </c>
      <c r="K286" s="307">
        <f t="shared" ca="1" si="131"/>
        <v>300.88068555990958</v>
      </c>
      <c r="L286" s="304">
        <f t="shared" ca="1" si="116"/>
        <v>302.57932647358228</v>
      </c>
      <c r="M286" s="306">
        <f t="shared" ca="1" si="132"/>
        <v>1.457585711908935</v>
      </c>
      <c r="N286" s="304">
        <f t="shared" ca="1" si="133"/>
        <v>83.513509570953474</v>
      </c>
      <c r="P286" s="310">
        <f t="shared" ca="1" si="134"/>
        <v>7</v>
      </c>
      <c r="Q286" s="304">
        <f t="shared" ca="1" si="135"/>
        <v>448.65957446808841</v>
      </c>
      <c r="R286" s="306">
        <f t="shared" ca="1" si="136"/>
        <v>0.22516133660398047</v>
      </c>
      <c r="S286" s="307">
        <f t="shared" ca="1" si="137"/>
        <v>7.5733964749426281</v>
      </c>
      <c r="T286" s="304">
        <f t="shared" ca="1" si="117"/>
        <v>74.295019419187184</v>
      </c>
      <c r="U286" s="311">
        <f t="shared" ca="1" si="118"/>
        <v>0</v>
      </c>
      <c r="V286" s="306">
        <f t="shared" ca="1" si="119"/>
        <v>1.1886883891374169</v>
      </c>
      <c r="W286" s="304">
        <f t="shared" ca="1" si="120"/>
        <v>112.49727778480704</v>
      </c>
      <c r="Y286" s="314" t="str">
        <f t="shared" ca="1" si="138"/>
        <v/>
      </c>
      <c r="Z286" s="315" t="str">
        <f t="shared" ca="1" si="139"/>
        <v/>
      </c>
      <c r="AA286" s="316" t="str">
        <f t="shared" ca="1" si="140"/>
        <v/>
      </c>
      <c r="AC286" s="310" t="e">
        <f t="shared" ca="1" si="141"/>
        <v>#N/A</v>
      </c>
      <c r="AD286" s="323" t="e">
        <f t="shared" ca="1" si="142"/>
        <v>#N/A</v>
      </c>
      <c r="AE286" s="324">
        <f t="shared" ca="1" si="121"/>
        <v>300.88068555990958</v>
      </c>
      <c r="AG286" s="306">
        <f t="shared" ca="1" si="143"/>
        <v>34.69163269508622</v>
      </c>
      <c r="AH286" s="304">
        <f t="shared" ca="1" si="144"/>
        <v>44.438899036887911</v>
      </c>
    </row>
    <row r="287" spans="1:34" x14ac:dyDescent="0.2">
      <c r="A287" s="347">
        <f t="shared" ca="1" si="122"/>
        <v>0.01</v>
      </c>
      <c r="B287" s="304">
        <f t="shared" ca="1" si="123"/>
        <v>2.8299999999999836</v>
      </c>
      <c r="D287" s="306">
        <f t="shared" ca="1" si="124"/>
        <v>4.9853889702301784</v>
      </c>
      <c r="E287" s="307">
        <f t="shared" ca="1" si="125"/>
        <v>34.038115335786614</v>
      </c>
      <c r="F287" s="304">
        <f t="shared" ca="1" si="126"/>
        <v>34.401270307894222</v>
      </c>
      <c r="G287" s="306">
        <f t="shared" ca="1" si="127"/>
        <v>21.423991327852061</v>
      </c>
      <c r="H287" s="307">
        <f t="shared" ca="1" si="128"/>
        <v>188.3328626201899</v>
      </c>
      <c r="I287" s="304">
        <f t="shared" ca="1" si="129"/>
        <v>189.54749944837363</v>
      </c>
      <c r="J287" s="306">
        <f t="shared" ca="1" si="130"/>
        <v>32.230578004220376</v>
      </c>
      <c r="K287" s="307">
        <f t="shared" ca="1" si="131"/>
        <v>302.7623122803447</v>
      </c>
      <c r="L287" s="304">
        <f t="shared" ca="1" si="116"/>
        <v>304.47303311759333</v>
      </c>
      <c r="M287" s="306">
        <f t="shared" ca="1" si="132"/>
        <v>1.4575272450178769</v>
      </c>
      <c r="N287" s="304">
        <f t="shared" ca="1" si="133"/>
        <v>83.510159664854584</v>
      </c>
      <c r="P287" s="310">
        <f t="shared" ca="1" si="134"/>
        <v>7</v>
      </c>
      <c r="Q287" s="304">
        <f t="shared" ca="1" si="135"/>
        <v>446.61702127659908</v>
      </c>
      <c r="R287" s="306">
        <f t="shared" ca="1" si="136"/>
        <v>0.22413627432323965</v>
      </c>
      <c r="S287" s="307">
        <f t="shared" ca="1" si="137"/>
        <v>7.5711551121993956</v>
      </c>
      <c r="T287" s="304">
        <f t="shared" ca="1" si="117"/>
        <v>74.273031650676074</v>
      </c>
      <c r="U287" s="311">
        <f t="shared" ca="1" si="118"/>
        <v>0</v>
      </c>
      <c r="V287" s="306">
        <f t="shared" ca="1" si="119"/>
        <v>1.1884646924552635</v>
      </c>
      <c r="W287" s="304">
        <f t="shared" ca="1" si="120"/>
        <v>112.88527792055723</v>
      </c>
      <c r="Y287" s="314" t="str">
        <f t="shared" ca="1" si="138"/>
        <v/>
      </c>
      <c r="Z287" s="315" t="str">
        <f t="shared" ca="1" si="139"/>
        <v/>
      </c>
      <c r="AA287" s="316" t="str">
        <f t="shared" ca="1" si="140"/>
        <v/>
      </c>
      <c r="AC287" s="310" t="e">
        <f t="shared" ca="1" si="141"/>
        <v>#N/A</v>
      </c>
      <c r="AD287" s="323" t="e">
        <f t="shared" ca="1" si="142"/>
        <v>#N/A</v>
      </c>
      <c r="AE287" s="324">
        <f t="shared" ca="1" si="121"/>
        <v>302.7623122803447</v>
      </c>
      <c r="AG287" s="306">
        <f t="shared" ca="1" si="143"/>
        <v>34.383415122446848</v>
      </c>
      <c r="AH287" s="304">
        <f t="shared" ca="1" si="144"/>
        <v>44.130616602138453</v>
      </c>
    </row>
    <row r="288" spans="1:34" x14ac:dyDescent="0.2">
      <c r="A288" s="347">
        <f t="shared" ca="1" si="122"/>
        <v>0.01</v>
      </c>
      <c r="B288" s="304">
        <f t="shared" ca="1" si="123"/>
        <v>2.8399999999999834</v>
      </c>
      <c r="D288" s="306">
        <f t="shared" ca="1" si="124"/>
        <v>4.9531273909216003</v>
      </c>
      <c r="E288" s="307">
        <f t="shared" ca="1" si="125"/>
        <v>33.731684001804673</v>
      </c>
      <c r="F288" s="304">
        <f t="shared" ca="1" si="126"/>
        <v>34.093400777104989</v>
      </c>
      <c r="G288" s="306">
        <f t="shared" ca="1" si="127"/>
        <v>21.473522601761278</v>
      </c>
      <c r="H288" s="307">
        <f t="shared" ca="1" si="128"/>
        <v>188.67017946020795</v>
      </c>
      <c r="I288" s="304">
        <f t="shared" ca="1" si="129"/>
        <v>189.88825342941945</v>
      </c>
      <c r="J288" s="306">
        <f t="shared" ca="1" si="130"/>
        <v>32.44506557386844</v>
      </c>
      <c r="K288" s="307">
        <f t="shared" ca="1" si="131"/>
        <v>304.6473274907467</v>
      </c>
      <c r="L288" s="304">
        <f t="shared" ca="1" si="116"/>
        <v>306.37016242993849</v>
      </c>
      <c r="M288" s="306">
        <f t="shared" ca="1" si="132"/>
        <v>1.4574688530338173</v>
      </c>
      <c r="N288" s="304">
        <f t="shared" ca="1" si="133"/>
        <v>83.506814050610586</v>
      </c>
      <c r="P288" s="310">
        <f t="shared" ca="1" si="134"/>
        <v>7</v>
      </c>
      <c r="Q288" s="304">
        <f t="shared" ca="1" si="135"/>
        <v>444.57446808510974</v>
      </c>
      <c r="R288" s="306">
        <f t="shared" ca="1" si="136"/>
        <v>0.22311121204249884</v>
      </c>
      <c r="S288" s="307">
        <f t="shared" ca="1" si="137"/>
        <v>7.5689240000789706</v>
      </c>
      <c r="T288" s="304">
        <f t="shared" ca="1" si="117"/>
        <v>74.251144440774709</v>
      </c>
      <c r="U288" s="311">
        <f t="shared" ca="1" si="118"/>
        <v>0</v>
      </c>
      <c r="V288" s="306">
        <f t="shared" ca="1" si="119"/>
        <v>1.1882406345052945</v>
      </c>
      <c r="W288" s="304">
        <f t="shared" ca="1" si="120"/>
        <v>113.27015722750603</v>
      </c>
      <c r="Y288" s="314" t="str">
        <f t="shared" ca="1" si="138"/>
        <v/>
      </c>
      <c r="Z288" s="315" t="str">
        <f t="shared" ca="1" si="139"/>
        <v/>
      </c>
      <c r="AA288" s="316" t="str">
        <f t="shared" ca="1" si="140"/>
        <v/>
      </c>
      <c r="AC288" s="310" t="e">
        <f t="shared" ca="1" si="141"/>
        <v>#N/A</v>
      </c>
      <c r="AD288" s="323" t="e">
        <f t="shared" ca="1" si="142"/>
        <v>#N/A</v>
      </c>
      <c r="AE288" s="324">
        <f t="shared" ca="1" si="121"/>
        <v>304.6473274907467</v>
      </c>
      <c r="AG288" s="306">
        <f t="shared" ca="1" si="143"/>
        <v>34.075365732205697</v>
      </c>
      <c r="AH288" s="304">
        <f t="shared" ca="1" si="144"/>
        <v>43.822502400749677</v>
      </c>
    </row>
    <row r="289" spans="1:34" x14ac:dyDescent="0.2">
      <c r="A289" s="347">
        <f t="shared" ca="1" si="122"/>
        <v>0.01</v>
      </c>
      <c r="B289" s="304">
        <f t="shared" ca="1" si="123"/>
        <v>2.8499999999999832</v>
      </c>
      <c r="D289" s="306">
        <f t="shared" ca="1" si="124"/>
        <v>4.9208461851649075</v>
      </c>
      <c r="E289" s="307">
        <f t="shared" ca="1" si="125"/>
        <v>33.425427650561318</v>
      </c>
      <c r="F289" s="304">
        <f t="shared" ca="1" si="126"/>
        <v>33.785706161052211</v>
      </c>
      <c r="G289" s="306">
        <f t="shared" ca="1" si="127"/>
        <v>21.522731063612927</v>
      </c>
      <c r="H289" s="307">
        <f t="shared" ca="1" si="128"/>
        <v>189.00443373671357</v>
      </c>
      <c r="I289" s="304">
        <f t="shared" ca="1" si="129"/>
        <v>190.2259286337495</v>
      </c>
      <c r="J289" s="306">
        <f t="shared" ca="1" si="130"/>
        <v>32.660046842195314</v>
      </c>
      <c r="K289" s="307">
        <f t="shared" ca="1" si="131"/>
        <v>306.53570055673129</v>
      </c>
      <c r="L289" s="304">
        <f t="shared" ca="1" si="116"/>
        <v>308.27068361350939</v>
      </c>
      <c r="M289" s="306">
        <f t="shared" ca="1" si="132"/>
        <v>1.4574105347831214</v>
      </c>
      <c r="N289" s="304">
        <f t="shared" ca="1" si="133"/>
        <v>83.503472660977124</v>
      </c>
      <c r="P289" s="310">
        <f t="shared" ca="1" si="134"/>
        <v>7</v>
      </c>
      <c r="Q289" s="304">
        <f t="shared" ca="1" si="135"/>
        <v>442.53191489362047</v>
      </c>
      <c r="R289" s="306">
        <f t="shared" ca="1" si="136"/>
        <v>0.22208614976175803</v>
      </c>
      <c r="S289" s="307">
        <f t="shared" ca="1" si="137"/>
        <v>7.566703138581353</v>
      </c>
      <c r="T289" s="304">
        <f t="shared" ca="1" si="117"/>
        <v>74.229357789483075</v>
      </c>
      <c r="U289" s="311">
        <f t="shared" ca="1" si="118"/>
        <v>0</v>
      </c>
      <c r="V289" s="306">
        <f t="shared" ca="1" si="119"/>
        <v>1.1880162191405499</v>
      </c>
      <c r="W289" s="304">
        <f t="shared" ca="1" si="120"/>
        <v>113.65189963370989</v>
      </c>
      <c r="Y289" s="314" t="str">
        <f t="shared" ca="1" si="138"/>
        <v/>
      </c>
      <c r="Z289" s="315" t="str">
        <f t="shared" ca="1" si="139"/>
        <v/>
      </c>
      <c r="AA289" s="316" t="str">
        <f t="shared" ca="1" si="140"/>
        <v/>
      </c>
      <c r="AC289" s="310" t="e">
        <f t="shared" ca="1" si="141"/>
        <v>#N/A</v>
      </c>
      <c r="AD289" s="323" t="e">
        <f t="shared" ca="1" si="142"/>
        <v>#N/A</v>
      </c>
      <c r="AE289" s="324">
        <f t="shared" ca="1" si="121"/>
        <v>306.53570055673129</v>
      </c>
      <c r="AG289" s="306">
        <f t="shared" ca="1" si="143"/>
        <v>33.767488084911264</v>
      </c>
      <c r="AH289" s="304">
        <f t="shared" ca="1" si="144"/>
        <v>43.514559992087413</v>
      </c>
    </row>
    <row r="290" spans="1:34" x14ac:dyDescent="0.2">
      <c r="A290" s="347">
        <f t="shared" ca="1" si="122"/>
        <v>0.01</v>
      </c>
      <c r="B290" s="304">
        <f t="shared" ca="1" si="123"/>
        <v>2.859999999999983</v>
      </c>
      <c r="D290" s="306">
        <f t="shared" ca="1" si="124"/>
        <v>4.8885459015647648</v>
      </c>
      <c r="E290" s="307">
        <f t="shared" ca="1" si="125"/>
        <v>33.119349773981654</v>
      </c>
      <c r="F290" s="304">
        <f t="shared" ca="1" si="126"/>
        <v>33.478190071792177</v>
      </c>
      <c r="G290" s="306">
        <f t="shared" ca="1" si="127"/>
        <v>21.571616522628574</v>
      </c>
      <c r="H290" s="307">
        <f t="shared" ca="1" si="128"/>
        <v>189.33562723445337</v>
      </c>
      <c r="I290" s="304">
        <f t="shared" ca="1" si="129"/>
        <v>190.56052681408923</v>
      </c>
      <c r="J290" s="306">
        <f t="shared" ca="1" si="130"/>
        <v>32.875518580126524</v>
      </c>
      <c r="K290" s="307">
        <f t="shared" ca="1" si="131"/>
        <v>308.4274008615871</v>
      </c>
      <c r="L290" s="304">
        <f t="shared" ca="1" si="116"/>
        <v>310.17456588854344</v>
      </c>
      <c r="M290" s="306">
        <f t="shared" ca="1" si="132"/>
        <v>1.457352289101902</v>
      </c>
      <c r="N290" s="304">
        <f t="shared" ca="1" si="133"/>
        <v>83.500135429268383</v>
      </c>
      <c r="P290" s="310">
        <f t="shared" ca="1" si="134"/>
        <v>7</v>
      </c>
      <c r="Q290" s="304">
        <f t="shared" ca="1" si="135"/>
        <v>440.48936170213113</v>
      </c>
      <c r="R290" s="306">
        <f t="shared" ca="1" si="136"/>
        <v>0.22106108748101722</v>
      </c>
      <c r="S290" s="307">
        <f t="shared" ca="1" si="137"/>
        <v>7.5644925277065429</v>
      </c>
      <c r="T290" s="304">
        <f t="shared" ca="1" si="117"/>
        <v>74.207671696801185</v>
      </c>
      <c r="U290" s="311">
        <f t="shared" ca="1" si="118"/>
        <v>0</v>
      </c>
      <c r="V290" s="306">
        <f t="shared" ca="1" si="119"/>
        <v>1.1877914502095408</v>
      </c>
      <c r="W290" s="304">
        <f t="shared" ca="1" si="120"/>
        <v>114.03048932621108</v>
      </c>
      <c r="Y290" s="314" t="str">
        <f t="shared" ca="1" si="138"/>
        <v/>
      </c>
      <c r="Z290" s="315" t="str">
        <f t="shared" ca="1" si="139"/>
        <v/>
      </c>
      <c r="AA290" s="316" t="str">
        <f t="shared" ca="1" si="140"/>
        <v/>
      </c>
      <c r="AC290" s="310" t="e">
        <f t="shared" ca="1" si="141"/>
        <v>#N/A</v>
      </c>
      <c r="AD290" s="323" t="e">
        <f t="shared" ca="1" si="142"/>
        <v>#N/A</v>
      </c>
      <c r="AE290" s="324">
        <f t="shared" ca="1" si="121"/>
        <v>308.4274008615871</v>
      </c>
      <c r="AG290" s="306">
        <f t="shared" ca="1" si="143"/>
        <v>33.459785709579705</v>
      </c>
      <c r="AH290" s="304">
        <f t="shared" ca="1" si="144"/>
        <v>43.206792903993282</v>
      </c>
    </row>
    <row r="291" spans="1:34" x14ac:dyDescent="0.2">
      <c r="A291" s="347">
        <f t="shared" ca="1" si="122"/>
        <v>0.01</v>
      </c>
      <c r="B291" s="304">
        <f t="shared" ca="1" si="123"/>
        <v>2.8699999999999828</v>
      </c>
      <c r="D291" s="306">
        <f t="shared" ca="1" si="124"/>
        <v>4.8562270840420361</v>
      </c>
      <c r="E291" s="307">
        <f t="shared" ca="1" si="125"/>
        <v>32.813453832749694</v>
      </c>
      <c r="F291" s="304">
        <f t="shared" ca="1" si="126"/>
        <v>33.170856092747727</v>
      </c>
      <c r="G291" s="306">
        <f t="shared" ca="1" si="127"/>
        <v>21.620178793468995</v>
      </c>
      <c r="H291" s="307">
        <f t="shared" ca="1" si="128"/>
        <v>189.66376177278087</v>
      </c>
      <c r="I291" s="304">
        <f t="shared" ca="1" si="129"/>
        <v>190.8920497581388</v>
      </c>
      <c r="J291" s="306">
        <f t="shared" ca="1" si="130"/>
        <v>33.091477556707012</v>
      </c>
      <c r="K291" s="307">
        <f t="shared" ca="1" si="131"/>
        <v>310.32239780662326</v>
      </c>
      <c r="L291" s="304">
        <f t="shared" ca="1" si="116"/>
        <v>312.08177849297482</v>
      </c>
      <c r="M291" s="306">
        <f t="shared" ca="1" si="132"/>
        <v>1.4572941148358505</v>
      </c>
      <c r="N291" s="304">
        <f t="shared" ca="1" si="133"/>
        <v>83.496802289347357</v>
      </c>
      <c r="P291" s="310">
        <f t="shared" ca="1" si="134"/>
        <v>7</v>
      </c>
      <c r="Q291" s="304">
        <f t="shared" ca="1" si="135"/>
        <v>438.44680851064186</v>
      </c>
      <c r="R291" s="306">
        <f t="shared" ca="1" si="136"/>
        <v>0.22003602520027643</v>
      </c>
      <c r="S291" s="307">
        <f t="shared" ca="1" si="137"/>
        <v>7.5622921674545402</v>
      </c>
      <c r="T291" s="304">
        <f t="shared" ca="1" si="117"/>
        <v>74.18608616272904</v>
      </c>
      <c r="U291" s="311">
        <f t="shared" ca="1" si="118"/>
        <v>0</v>
      </c>
      <c r="V291" s="306">
        <f t="shared" ca="1" si="119"/>
        <v>1.1875663315561977</v>
      </c>
      <c r="W291" s="304">
        <f t="shared" ca="1" si="120"/>
        <v>114.40591075041671</v>
      </c>
      <c r="Y291" s="314" t="str">
        <f t="shared" ca="1" si="138"/>
        <v/>
      </c>
      <c r="Z291" s="315" t="str">
        <f t="shared" ca="1" si="139"/>
        <v/>
      </c>
      <c r="AA291" s="316" t="str">
        <f t="shared" ca="1" si="140"/>
        <v/>
      </c>
      <c r="AC291" s="310" t="e">
        <f t="shared" ca="1" si="141"/>
        <v>#N/A</v>
      </c>
      <c r="AD291" s="323" t="e">
        <f t="shared" ca="1" si="142"/>
        <v>#N/A</v>
      </c>
      <c r="AE291" s="324">
        <f t="shared" ca="1" si="121"/>
        <v>310.32239780662326</v>
      </c>
      <c r="AG291" s="306">
        <f t="shared" ca="1" si="143"/>
        <v>33.152262103680904</v>
      </c>
      <c r="AH291" s="304">
        <f t="shared" ca="1" si="144"/>
        <v>42.899204632770619</v>
      </c>
    </row>
    <row r="292" spans="1:34" x14ac:dyDescent="0.2">
      <c r="A292" s="347">
        <f t="shared" ca="1" si="122"/>
        <v>0.01</v>
      </c>
      <c r="B292" s="304">
        <f t="shared" ca="1" si="123"/>
        <v>2.8799999999999826</v>
      </c>
      <c r="D292" s="306">
        <f t="shared" ca="1" si="124"/>
        <v>4.8238902718449745</v>
      </c>
      <c r="E292" s="307">
        <f t="shared" ca="1" si="125"/>
        <v>32.507743256296202</v>
      </c>
      <c r="F292" s="304">
        <f t="shared" ca="1" si="126"/>
        <v>32.863707778826047</v>
      </c>
      <c r="G292" s="306">
        <f t="shared" ca="1" si="127"/>
        <v>21.668417696187444</v>
      </c>
      <c r="H292" s="307">
        <f t="shared" ca="1" si="128"/>
        <v>189.98883920534382</v>
      </c>
      <c r="I292" s="304">
        <f t="shared" ca="1" si="129"/>
        <v>191.22049928825737</v>
      </c>
      <c r="J292" s="306">
        <f t="shared" ca="1" si="130"/>
        <v>33.307920539155297</v>
      </c>
      <c r="K292" s="307">
        <f t="shared" ca="1" si="131"/>
        <v>312.22066081151388</v>
      </c>
      <c r="L292" s="304">
        <f t="shared" ca="1" si="116"/>
        <v>313.99229068278265</v>
      </c>
      <c r="M292" s="306">
        <f t="shared" ca="1" si="132"/>
        <v>1.4572360108400728</v>
      </c>
      <c r="N292" s="304">
        <f t="shared" ca="1" si="133"/>
        <v>83.493473175616458</v>
      </c>
      <c r="P292" s="310">
        <f t="shared" ca="1" si="134"/>
        <v>7</v>
      </c>
      <c r="Q292" s="304">
        <f t="shared" ca="1" si="135"/>
        <v>436.40425531915253</v>
      </c>
      <c r="R292" s="306">
        <f t="shared" ca="1" si="136"/>
        <v>0.21901096291953562</v>
      </c>
      <c r="S292" s="307">
        <f t="shared" ca="1" si="137"/>
        <v>7.5601020578253451</v>
      </c>
      <c r="T292" s="304">
        <f t="shared" ca="1" si="117"/>
        <v>74.164601187266641</v>
      </c>
      <c r="U292" s="311">
        <f t="shared" ca="1" si="118"/>
        <v>0</v>
      </c>
      <c r="V292" s="306">
        <f t="shared" ca="1" si="119"/>
        <v>1.1873408670198224</v>
      </c>
      <c r="W292" s="304">
        <f t="shared" ca="1" si="120"/>
        <v>114.77814860946164</v>
      </c>
      <c r="Y292" s="314" t="str">
        <f t="shared" ca="1" si="138"/>
        <v/>
      </c>
      <c r="Z292" s="315" t="str">
        <f t="shared" ca="1" si="139"/>
        <v/>
      </c>
      <c r="AA292" s="316" t="str">
        <f t="shared" ca="1" si="140"/>
        <v/>
      </c>
      <c r="AC292" s="310" t="e">
        <f t="shared" ca="1" si="141"/>
        <v>#N/A</v>
      </c>
      <c r="AD292" s="323" t="e">
        <f t="shared" ca="1" si="142"/>
        <v>#N/A</v>
      </c>
      <c r="AE292" s="324">
        <f t="shared" ca="1" si="121"/>
        <v>312.22066081151388</v>
      </c>
      <c r="AG292" s="306">
        <f t="shared" ca="1" si="143"/>
        <v>32.844920733127253</v>
      </c>
      <c r="AH292" s="304">
        <f t="shared" ca="1" si="144"/>
        <v>42.591798643173121</v>
      </c>
    </row>
    <row r="293" spans="1:34" x14ac:dyDescent="0.2">
      <c r="A293" s="347">
        <f t="shared" ca="1" si="122"/>
        <v>0.01</v>
      </c>
      <c r="B293" s="304">
        <f t="shared" ca="1" si="123"/>
        <v>2.8899999999999824</v>
      </c>
      <c r="D293" s="306">
        <f t="shared" ca="1" si="124"/>
        <v>4.7915359995603097</v>
      </c>
      <c r="E293" s="307">
        <f t="shared" ca="1" si="125"/>
        <v>32.20222144278921</v>
      </c>
      <c r="F293" s="304">
        <f t="shared" ca="1" si="126"/>
        <v>32.556748656546091</v>
      </c>
      <c r="G293" s="306">
        <f t="shared" ca="1" si="127"/>
        <v>21.716333056183046</v>
      </c>
      <c r="H293" s="307">
        <f t="shared" ca="1" si="128"/>
        <v>190.31086141977173</v>
      </c>
      <c r="I293" s="304">
        <f t="shared" ca="1" si="129"/>
        <v>191.54587726114761</v>
      </c>
      <c r="J293" s="306">
        <f t="shared" ca="1" si="130"/>
        <v>33.524844292917152</v>
      </c>
      <c r="K293" s="307">
        <f t="shared" ca="1" si="131"/>
        <v>314.12215931463948</v>
      </c>
      <c r="L293" s="304">
        <f t="shared" ca="1" si="116"/>
        <v>315.90607173233644</v>
      </c>
      <c r="M293" s="306">
        <f t="shared" ca="1" si="132"/>
        <v>1.4571779759789267</v>
      </c>
      <c r="N293" s="304">
        <f t="shared" ca="1" si="133"/>
        <v>83.49014802300816</v>
      </c>
      <c r="P293" s="310">
        <f t="shared" ca="1" si="134"/>
        <v>7</v>
      </c>
      <c r="Q293" s="304">
        <f t="shared" ca="1" si="135"/>
        <v>434.36170212766319</v>
      </c>
      <c r="R293" s="306">
        <f t="shared" ca="1" si="136"/>
        <v>0.21798590063879481</v>
      </c>
      <c r="S293" s="307">
        <f t="shared" ca="1" si="137"/>
        <v>7.5579221988189573</v>
      </c>
      <c r="T293" s="304">
        <f t="shared" ca="1" si="117"/>
        <v>74.143216770413972</v>
      </c>
      <c r="U293" s="311">
        <f t="shared" ca="1" si="118"/>
        <v>0</v>
      </c>
      <c r="V293" s="306">
        <f t="shared" ca="1" si="119"/>
        <v>1.1871150604350391</v>
      </c>
      <c r="W293" s="304">
        <f t="shared" ca="1" si="120"/>
        <v>115.14718786355635</v>
      </c>
      <c r="Y293" s="314" t="str">
        <f t="shared" ca="1" si="138"/>
        <v/>
      </c>
      <c r="Z293" s="315" t="str">
        <f t="shared" ca="1" si="139"/>
        <v/>
      </c>
      <c r="AA293" s="316" t="str">
        <f t="shared" ca="1" si="140"/>
        <v/>
      </c>
      <c r="AC293" s="310" t="e">
        <f t="shared" ca="1" si="141"/>
        <v>#N/A</v>
      </c>
      <c r="AD293" s="323" t="e">
        <f t="shared" ca="1" si="142"/>
        <v>#N/A</v>
      </c>
      <c r="AE293" s="324">
        <f t="shared" ca="1" si="121"/>
        <v>314.12215931463948</v>
      </c>
      <c r="AG293" s="306">
        <f t="shared" ca="1" si="143"/>
        <v>32.537765032265163</v>
      </c>
      <c r="AH293" s="304">
        <f t="shared" ca="1" si="144"/>
        <v>42.284578368396204</v>
      </c>
    </row>
    <row r="294" spans="1:34" x14ac:dyDescent="0.2">
      <c r="A294" s="347">
        <f t="shared" ca="1" si="122"/>
        <v>0.01</v>
      </c>
      <c r="B294" s="304">
        <f t="shared" ca="1" si="123"/>
        <v>2.8999999999999821</v>
      </c>
      <c r="D294" s="306">
        <f t="shared" ca="1" si="124"/>
        <v>4.7591647971243196</v>
      </c>
      <c r="E294" s="307">
        <f t="shared" ca="1" si="125"/>
        <v>31.896891759127215</v>
      </c>
      <c r="F294" s="304">
        <f t="shared" ca="1" si="126"/>
        <v>32.249982224175952</v>
      </c>
      <c r="G294" s="306">
        <f t="shared" ca="1" si="127"/>
        <v>21.763924704154288</v>
      </c>
      <c r="H294" s="307">
        <f t="shared" ca="1" si="128"/>
        <v>190.62983033736299</v>
      </c>
      <c r="I294" s="304">
        <f t="shared" ca="1" si="129"/>
        <v>191.86818556753983</v>
      </c>
      <c r="J294" s="306">
        <f t="shared" ca="1" si="130"/>
        <v>33.742245581718841</v>
      </c>
      <c r="K294" s="307">
        <f t="shared" ca="1" si="131"/>
        <v>316.02686277342514</v>
      </c>
      <c r="L294" s="304">
        <f t="shared" ca="1" si="116"/>
        <v>317.82309093473737</v>
      </c>
      <c r="M294" s="306">
        <f t="shared" ca="1" si="132"/>
        <v>1.4571200091258607</v>
      </c>
      <c r="N294" s="304">
        <f t="shared" ca="1" si="133"/>
        <v>83.486826766975824</v>
      </c>
      <c r="P294" s="310">
        <f t="shared" ca="1" si="134"/>
        <v>7</v>
      </c>
      <c r="Q294" s="304">
        <f t="shared" ca="1" si="135"/>
        <v>432.31914893617386</v>
      </c>
      <c r="R294" s="306">
        <f t="shared" ca="1" si="136"/>
        <v>0.21696083835805396</v>
      </c>
      <c r="S294" s="307">
        <f t="shared" ca="1" si="137"/>
        <v>7.5557525904353771</v>
      </c>
      <c r="T294" s="304">
        <f t="shared" ca="1" si="117"/>
        <v>74.121932912171047</v>
      </c>
      <c r="U294" s="311">
        <f t="shared" ca="1" si="118"/>
        <v>0</v>
      </c>
      <c r="V294" s="306">
        <f t="shared" ca="1" si="119"/>
        <v>1.186888915631745</v>
      </c>
      <c r="W294" s="304">
        <f t="shared" ca="1" si="120"/>
        <v>115.51301372931904</v>
      </c>
      <c r="Y294" s="314" t="str">
        <f t="shared" ca="1" si="138"/>
        <v/>
      </c>
      <c r="Z294" s="315" t="str">
        <f t="shared" ca="1" si="139"/>
        <v/>
      </c>
      <c r="AA294" s="316" t="str">
        <f t="shared" ca="1" si="140"/>
        <v/>
      </c>
      <c r="AC294" s="310" t="e">
        <f t="shared" ca="1" si="141"/>
        <v>#N/A</v>
      </c>
      <c r="AD294" s="323" t="e">
        <f t="shared" ca="1" si="142"/>
        <v>#N/A</v>
      </c>
      <c r="AE294" s="324">
        <f t="shared" ca="1" si="121"/>
        <v>316.02686277342514</v>
      </c>
      <c r="AG294" s="306">
        <f t="shared" ca="1" si="143"/>
        <v>32.230798403869258</v>
      </c>
      <c r="AH294" s="304">
        <f t="shared" ca="1" si="144"/>
        <v>41.977547210071023</v>
      </c>
    </row>
    <row r="295" spans="1:34" x14ac:dyDescent="0.2">
      <c r="A295" s="347">
        <f t="shared" ca="1" si="122"/>
        <v>0.01</v>
      </c>
      <c r="B295" s="304">
        <f t="shared" ca="1" si="123"/>
        <v>2.9099999999999819</v>
      </c>
      <c r="D295" s="306">
        <f t="shared" ca="1" si="124"/>
        <v>4.7267771898339541</v>
      </c>
      <c r="E295" s="307">
        <f t="shared" ca="1" si="125"/>
        <v>31.591757540935127</v>
      </c>
      <c r="F295" s="304">
        <f t="shared" ca="1" si="126"/>
        <v>31.943411951880876</v>
      </c>
      <c r="G295" s="306">
        <f t="shared" ca="1" si="127"/>
        <v>21.811192476052629</v>
      </c>
      <c r="H295" s="307">
        <f t="shared" ca="1" si="128"/>
        <v>190.94574791277233</v>
      </c>
      <c r="I295" s="304">
        <f t="shared" ca="1" si="129"/>
        <v>192.18742613187632</v>
      </c>
      <c r="J295" s="306">
        <f t="shared" ca="1" si="130"/>
        <v>33.960121167619874</v>
      </c>
      <c r="K295" s="307">
        <f t="shared" ca="1" si="131"/>
        <v>317.93474066467581</v>
      </c>
      <c r="L295" s="304">
        <f t="shared" ca="1" si="116"/>
        <v>319.74331760215739</v>
      </c>
      <c r="M295" s="306">
        <f t="shared" ca="1" si="132"/>
        <v>1.4570621091632583</v>
      </c>
      <c r="N295" s="304">
        <f t="shared" ca="1" si="133"/>
        <v>83.483509343484727</v>
      </c>
      <c r="P295" s="310">
        <f t="shared" ca="1" si="134"/>
        <v>7</v>
      </c>
      <c r="Q295" s="304">
        <f t="shared" ca="1" si="135"/>
        <v>430.27659574468453</v>
      </c>
      <c r="R295" s="306">
        <f t="shared" ca="1" si="136"/>
        <v>0.21593577607731315</v>
      </c>
      <c r="S295" s="307">
        <f t="shared" ca="1" si="137"/>
        <v>7.5535932326746043</v>
      </c>
      <c r="T295" s="304">
        <f t="shared" ca="1" si="117"/>
        <v>74.100749612537868</v>
      </c>
      <c r="U295" s="311">
        <f t="shared" ca="1" si="118"/>
        <v>0</v>
      </c>
      <c r="V295" s="306">
        <f t="shared" ca="1" si="119"/>
        <v>1.1866624364350637</v>
      </c>
      <c r="W295" s="304">
        <f t="shared" ca="1" si="120"/>
        <v>115.875611679093</v>
      </c>
      <c r="Y295" s="314" t="str">
        <f t="shared" ca="1" si="138"/>
        <v/>
      </c>
      <c r="Z295" s="315" t="str">
        <f t="shared" ca="1" si="139"/>
        <v/>
      </c>
      <c r="AA295" s="316" t="str">
        <f t="shared" ca="1" si="140"/>
        <v/>
      </c>
      <c r="AC295" s="310" t="e">
        <f t="shared" ca="1" si="141"/>
        <v>#N/A</v>
      </c>
      <c r="AD295" s="323" t="e">
        <f t="shared" ca="1" si="142"/>
        <v>#N/A</v>
      </c>
      <c r="AE295" s="324">
        <f t="shared" ca="1" si="121"/>
        <v>317.93474066467581</v>
      </c>
      <c r="AG295" s="306">
        <f t="shared" ca="1" si="143"/>
        <v>31.924024219139177</v>
      </c>
      <c r="AH295" s="304">
        <f t="shared" ca="1" si="144"/>
        <v>41.670708538261181</v>
      </c>
    </row>
    <row r="296" spans="1:34" x14ac:dyDescent="0.2">
      <c r="A296" s="347">
        <f t="shared" ca="1" si="122"/>
        <v>0.01</v>
      </c>
      <c r="B296" s="304">
        <f t="shared" ca="1" si="123"/>
        <v>2.9199999999999817</v>
      </c>
      <c r="D296" s="306">
        <f t="shared" ca="1" si="124"/>
        <v>4.6943736983577979</v>
      </c>
      <c r="E296" s="307">
        <f t="shared" ca="1" si="125"/>
        <v>31.286822092562694</v>
      </c>
      <c r="F296" s="304">
        <f t="shared" ca="1" si="126"/>
        <v>31.637041281881949</v>
      </c>
      <c r="G296" s="306">
        <f t="shared" ca="1" si="127"/>
        <v>21.858136213036207</v>
      </c>
      <c r="H296" s="307">
        <f t="shared" ca="1" si="128"/>
        <v>191.25861613369796</v>
      </c>
      <c r="I296" s="304">
        <f t="shared" ca="1" si="129"/>
        <v>192.50360091199559</v>
      </c>
      <c r="J296" s="306">
        <f t="shared" ca="1" si="130"/>
        <v>34.178467811065318</v>
      </c>
      <c r="K296" s="307">
        <f t="shared" ca="1" si="131"/>
        <v>319.84576248490816</v>
      </c>
      <c r="L296" s="304">
        <f t="shared" ca="1" si="116"/>
        <v>321.66672106617483</v>
      </c>
      <c r="M296" s="306">
        <f t="shared" ca="1" si="132"/>
        <v>1.4570042749822827</v>
      </c>
      <c r="N296" s="304">
        <f t="shared" ca="1" si="133"/>
        <v>83.480195689003239</v>
      </c>
      <c r="P296" s="310">
        <f t="shared" ca="1" si="134"/>
        <v>7</v>
      </c>
      <c r="Q296" s="304">
        <f t="shared" ca="1" si="135"/>
        <v>428.23404255319525</v>
      </c>
      <c r="R296" s="306">
        <f t="shared" ca="1" si="136"/>
        <v>0.21491071379657237</v>
      </c>
      <c r="S296" s="307">
        <f t="shared" ca="1" si="137"/>
        <v>7.5514441255366389</v>
      </c>
      <c r="T296" s="304">
        <f t="shared" ca="1" si="117"/>
        <v>74.079666871514434</v>
      </c>
      <c r="U296" s="311">
        <f t="shared" ca="1" si="118"/>
        <v>0</v>
      </c>
      <c r="V296" s="306">
        <f t="shared" ca="1" si="119"/>
        <v>1.1864356266652984</v>
      </c>
      <c r="W296" s="304">
        <f t="shared" ca="1" si="120"/>
        <v>116.23496744024928</v>
      </c>
      <c r="Y296" s="314" t="str">
        <f t="shared" ca="1" si="138"/>
        <v/>
      </c>
      <c r="Z296" s="315" t="str">
        <f t="shared" ca="1" si="139"/>
        <v/>
      </c>
      <c r="AA296" s="316" t="str">
        <f t="shared" ca="1" si="140"/>
        <v/>
      </c>
      <c r="AC296" s="310" t="e">
        <f t="shared" ca="1" si="141"/>
        <v>#N/A</v>
      </c>
      <c r="AD296" s="323" t="e">
        <f t="shared" ca="1" si="142"/>
        <v>#N/A</v>
      </c>
      <c r="AE296" s="324">
        <f t="shared" ca="1" si="121"/>
        <v>319.84576248490816</v>
      </c>
      <c r="AG296" s="306">
        <f t="shared" ca="1" si="143"/>
        <v>31.617445817699029</v>
      </c>
      <c r="AH296" s="304">
        <f t="shared" ca="1" si="144"/>
        <v>41.364065691461988</v>
      </c>
    </row>
    <row r="297" spans="1:34" x14ac:dyDescent="0.2">
      <c r="A297" s="347">
        <f t="shared" ca="1" si="122"/>
        <v>0.01</v>
      </c>
      <c r="B297" s="304">
        <f t="shared" ca="1" si="123"/>
        <v>2.9299999999999815</v>
      </c>
      <c r="D297" s="306">
        <f t="shared" ca="1" si="124"/>
        <v>4.6619548387471283</v>
      </c>
      <c r="E297" s="307">
        <f t="shared" ca="1" si="125"/>
        <v>30.982088687085721</v>
      </c>
      <c r="F297" s="304">
        <f t="shared" ca="1" si="126"/>
        <v>31.330873628626488</v>
      </c>
      <c r="G297" s="306">
        <f t="shared" ca="1" si="127"/>
        <v>21.904755761423679</v>
      </c>
      <c r="H297" s="307">
        <f t="shared" ca="1" si="128"/>
        <v>191.56843702056881</v>
      </c>
      <c r="I297" s="304">
        <f t="shared" ca="1" si="129"/>
        <v>192.81671189881666</v>
      </c>
      <c r="J297" s="306">
        <f t="shared" ca="1" si="130"/>
        <v>34.397282270937616</v>
      </c>
      <c r="K297" s="307">
        <f t="shared" ca="1" si="131"/>
        <v>321.7598977506795</v>
      </c>
      <c r="L297" s="304">
        <f t="shared" ca="1" si="116"/>
        <v>323.59327067810648</v>
      </c>
      <c r="M297" s="306">
        <f t="shared" ca="1" si="132"/>
        <v>1.4569465054827251</v>
      </c>
      <c r="N297" s="304">
        <f t="shared" ca="1" si="133"/>
        <v>83.476885740493998</v>
      </c>
      <c r="P297" s="310">
        <f t="shared" ca="1" si="134"/>
        <v>7</v>
      </c>
      <c r="Q297" s="304">
        <f t="shared" ca="1" si="135"/>
        <v>426.19148936170592</v>
      </c>
      <c r="R297" s="306">
        <f t="shared" ca="1" si="136"/>
        <v>0.21388565151583155</v>
      </c>
      <c r="S297" s="307">
        <f t="shared" ca="1" si="137"/>
        <v>7.549305269021481</v>
      </c>
      <c r="T297" s="304">
        <f t="shared" ca="1" si="117"/>
        <v>74.05868468910073</v>
      </c>
      <c r="U297" s="311">
        <f t="shared" ca="1" si="118"/>
        <v>0</v>
      </c>
      <c r="V297" s="306">
        <f t="shared" ca="1" si="119"/>
        <v>1.1862084901378835</v>
      </c>
      <c r="W297" s="304">
        <f t="shared" ca="1" si="120"/>
        <v>116.59106699447425</v>
      </c>
      <c r="Y297" s="314" t="str">
        <f t="shared" ca="1" si="138"/>
        <v/>
      </c>
      <c r="Z297" s="315" t="str">
        <f t="shared" ca="1" si="139"/>
        <v/>
      </c>
      <c r="AA297" s="316" t="str">
        <f t="shared" ca="1" si="140"/>
        <v/>
      </c>
      <c r="AC297" s="310" t="e">
        <f t="shared" ca="1" si="141"/>
        <v>#N/A</v>
      </c>
      <c r="AD297" s="323" t="e">
        <f t="shared" ca="1" si="142"/>
        <v>#N/A</v>
      </c>
      <c r="AE297" s="324">
        <f t="shared" ca="1" si="121"/>
        <v>321.7598977506795</v>
      </c>
      <c r="AG297" s="306">
        <f t="shared" ca="1" si="143"/>
        <v>31.311066507599428</v>
      </c>
      <c r="AH297" s="304">
        <f t="shared" ca="1" si="144"/>
        <v>41.057621976602405</v>
      </c>
    </row>
    <row r="298" spans="1:34" x14ac:dyDescent="0.2">
      <c r="A298" s="347">
        <f t="shared" ca="1" si="122"/>
        <v>0.01</v>
      </c>
      <c r="B298" s="304">
        <f t="shared" ca="1" si="123"/>
        <v>2.9399999999999813</v>
      </c>
      <c r="D298" s="306">
        <f t="shared" ca="1" si="124"/>
        <v>4.6295211224469108</v>
      </c>
      <c r="E298" s="307">
        <f t="shared" ca="1" si="125"/>
        <v>30.677560566309786</v>
      </c>
      <c r="F298" s="304">
        <f t="shared" ca="1" si="126"/>
        <v>31.024912378970345</v>
      </c>
      <c r="G298" s="306">
        <f t="shared" ca="1" si="127"/>
        <v>21.951050972648147</v>
      </c>
      <c r="H298" s="307">
        <f t="shared" ca="1" si="128"/>
        <v>191.8752126262319</v>
      </c>
      <c r="I298" s="304">
        <f t="shared" ca="1" si="129"/>
        <v>193.12676111602323</v>
      </c>
      <c r="J298" s="306">
        <f t="shared" ca="1" si="130"/>
        <v>34.616561304607977</v>
      </c>
      <c r="K298" s="307">
        <f t="shared" ca="1" si="131"/>
        <v>323.67711599891351</v>
      </c>
      <c r="L298" s="304">
        <f t="shared" ca="1" si="116"/>
        <v>325.52293580933707</v>
      </c>
      <c r="M298" s="306">
        <f t="shared" ca="1" si="132"/>
        <v>1.456888799572855</v>
      </c>
      <c r="N298" s="304">
        <f t="shared" ca="1" si="133"/>
        <v>83.473579435405483</v>
      </c>
      <c r="P298" s="310">
        <f t="shared" ca="1" si="134"/>
        <v>7</v>
      </c>
      <c r="Q298" s="304">
        <f t="shared" ca="1" si="135"/>
        <v>424.14893617021659</v>
      </c>
      <c r="R298" s="306">
        <f t="shared" ca="1" si="136"/>
        <v>0.21286058923509071</v>
      </c>
      <c r="S298" s="307">
        <f t="shared" ca="1" si="137"/>
        <v>7.5471766631291297</v>
      </c>
      <c r="T298" s="304">
        <f t="shared" ca="1" si="117"/>
        <v>74.037803065296771</v>
      </c>
      <c r="U298" s="311">
        <f t="shared" ca="1" si="118"/>
        <v>0</v>
      </c>
      <c r="V298" s="306">
        <f t="shared" ca="1" si="119"/>
        <v>1.18598103066334</v>
      </c>
      <c r="W298" s="304">
        <f t="shared" ca="1" si="120"/>
        <v>116.94389657704319</v>
      </c>
      <c r="Y298" s="314" t="str">
        <f t="shared" ca="1" si="138"/>
        <v/>
      </c>
      <c r="Z298" s="315" t="str">
        <f t="shared" ca="1" si="139"/>
        <v/>
      </c>
      <c r="AA298" s="316" t="str">
        <f t="shared" ca="1" si="140"/>
        <v/>
      </c>
      <c r="AC298" s="310" t="e">
        <f t="shared" ca="1" si="141"/>
        <v>#N/A</v>
      </c>
      <c r="AD298" s="323" t="e">
        <f t="shared" ca="1" si="142"/>
        <v>#N/A</v>
      </c>
      <c r="AE298" s="324">
        <f t="shared" ca="1" si="121"/>
        <v>323.67711599891351</v>
      </c>
      <c r="AG298" s="306">
        <f t="shared" ca="1" si="143"/>
        <v>31.004889565322181</v>
      </c>
      <c r="AH298" s="304">
        <f t="shared" ca="1" si="144"/>
        <v>40.751380669049553</v>
      </c>
    </row>
    <row r="299" spans="1:34" x14ac:dyDescent="0.2">
      <c r="A299" s="347">
        <f t="shared" ca="1" si="122"/>
        <v>0.01</v>
      </c>
      <c r="B299" s="304">
        <f t="shared" ca="1" si="123"/>
        <v>2.9499999999999811</v>
      </c>
      <c r="D299" s="306">
        <f t="shared" ca="1" si="124"/>
        <v>4.5970730563067974</v>
      </c>
      <c r="E299" s="307">
        <f t="shared" ca="1" si="125"/>
        <v>30.37324094077659</v>
      </c>
      <c r="F299" s="304">
        <f t="shared" ca="1" si="126"/>
        <v>30.719160892372845</v>
      </c>
      <c r="G299" s="306">
        <f t="shared" ca="1" si="127"/>
        <v>21.997021703211214</v>
      </c>
      <c r="H299" s="307">
        <f t="shared" ca="1" si="128"/>
        <v>192.17894503563966</v>
      </c>
      <c r="I299" s="304">
        <f t="shared" ca="1" si="129"/>
        <v>193.43375061974822</v>
      </c>
      <c r="J299" s="306">
        <f t="shared" ca="1" si="130"/>
        <v>34.836301667987271</v>
      </c>
      <c r="K299" s="307">
        <f t="shared" ca="1" si="131"/>
        <v>325.59738678722289</v>
      </c>
      <c r="L299" s="304">
        <f t="shared" ca="1" si="116"/>
        <v>327.45568585164534</v>
      </c>
      <c r="M299" s="306">
        <f t="shared" ca="1" si="132"/>
        <v>1.4568311561692735</v>
      </c>
      <c r="N299" s="304">
        <f t="shared" ca="1" si="133"/>
        <v>83.470276711663502</v>
      </c>
      <c r="P299" s="310">
        <f t="shared" ca="1" si="134"/>
        <v>7</v>
      </c>
      <c r="Q299" s="304">
        <f t="shared" ca="1" si="135"/>
        <v>422.10638297872731</v>
      </c>
      <c r="R299" s="306">
        <f t="shared" ca="1" si="136"/>
        <v>0.21183552695434993</v>
      </c>
      <c r="S299" s="307">
        <f t="shared" ca="1" si="137"/>
        <v>7.5450583078595859</v>
      </c>
      <c r="T299" s="304">
        <f t="shared" ca="1" si="117"/>
        <v>74.017022000102543</v>
      </c>
      <c r="U299" s="311">
        <f t="shared" ca="1" si="118"/>
        <v>0</v>
      </c>
      <c r="V299" s="306">
        <f t="shared" ca="1" si="119"/>
        <v>1.1857532520472311</v>
      </c>
      <c r="W299" s="304">
        <f t="shared" ca="1" si="120"/>
        <v>117.29344267607989</v>
      </c>
      <c r="Y299" s="314" t="str">
        <f t="shared" ca="1" si="138"/>
        <v/>
      </c>
      <c r="Z299" s="315" t="str">
        <f t="shared" ca="1" si="139"/>
        <v/>
      </c>
      <c r="AA299" s="316" t="str">
        <f t="shared" ca="1" si="140"/>
        <v/>
      </c>
      <c r="AC299" s="310" t="e">
        <f t="shared" ca="1" si="141"/>
        <v>#N/A</v>
      </c>
      <c r="AD299" s="323" t="e">
        <f t="shared" ca="1" si="142"/>
        <v>#N/A</v>
      </c>
      <c r="AE299" s="324">
        <f t="shared" ca="1" si="121"/>
        <v>325.59738678722289</v>
      </c>
      <c r="AG299" s="306">
        <f t="shared" ca="1" si="143"/>
        <v>30.698918235787485</v>
      </c>
      <c r="AH299" s="304">
        <f t="shared" ca="1" si="144"/>
        <v>40.445345012615803</v>
      </c>
    </row>
    <row r="300" spans="1:34" x14ac:dyDescent="0.2">
      <c r="A300" s="347">
        <f t="shared" ca="1" si="122"/>
        <v>0.01</v>
      </c>
      <c r="B300" s="304">
        <f t="shared" ca="1" si="123"/>
        <v>2.9599999999999809</v>
      </c>
      <c r="D300" s="306">
        <f t="shared" ca="1" si="124"/>
        <v>4.5646111425920974</v>
      </c>
      <c r="E300" s="307">
        <f t="shared" ca="1" si="125"/>
        <v>30.069132989772655</v>
      </c>
      <c r="F300" s="304">
        <f t="shared" ca="1" si="126"/>
        <v>30.413622501104832</v>
      </c>
      <c r="G300" s="306">
        <f t="shared" ca="1" si="127"/>
        <v>22.042667814637134</v>
      </c>
      <c r="H300" s="307">
        <f t="shared" ca="1" si="128"/>
        <v>192.47963636553737</v>
      </c>
      <c r="I300" s="304">
        <f t="shared" ca="1" si="129"/>
        <v>193.73768249825829</v>
      </c>
      <c r="J300" s="306">
        <f t="shared" ca="1" si="130"/>
        <v>35.056500115576512</v>
      </c>
      <c r="K300" s="307">
        <f t="shared" ca="1" si="131"/>
        <v>327.52067969422876</v>
      </c>
      <c r="L300" s="304">
        <f t="shared" ca="1" si="116"/>
        <v>329.39149021752672</v>
      </c>
      <c r="M300" s="306">
        <f t="shared" ca="1" si="132"/>
        <v>1.4567735741967682</v>
      </c>
      <c r="N300" s="304">
        <f t="shared" ca="1" si="133"/>
        <v>83.466977507662904</v>
      </c>
      <c r="P300" s="310">
        <f t="shared" ca="1" si="134"/>
        <v>7</v>
      </c>
      <c r="Q300" s="304">
        <f t="shared" ca="1" si="135"/>
        <v>420.06382978723798</v>
      </c>
      <c r="R300" s="306">
        <f t="shared" ca="1" si="136"/>
        <v>0.21081046467360912</v>
      </c>
      <c r="S300" s="307">
        <f t="shared" ca="1" si="137"/>
        <v>7.5429502032128495</v>
      </c>
      <c r="T300" s="304">
        <f t="shared" ca="1" si="117"/>
        <v>73.996341493518059</v>
      </c>
      <c r="U300" s="311">
        <f t="shared" ca="1" si="118"/>
        <v>0</v>
      </c>
      <c r="V300" s="306">
        <f t="shared" ca="1" si="119"/>
        <v>1.1855251580901145</v>
      </c>
      <c r="W300" s="304">
        <f t="shared" ca="1" si="120"/>
        <v>117.63969203180189</v>
      </c>
      <c r="Y300" s="314" t="str">
        <f t="shared" ca="1" si="138"/>
        <v/>
      </c>
      <c r="Z300" s="315" t="str">
        <f t="shared" ca="1" si="139"/>
        <v/>
      </c>
      <c r="AA300" s="316" t="str">
        <f t="shared" ca="1" si="140"/>
        <v/>
      </c>
      <c r="AC300" s="310" t="e">
        <f t="shared" ca="1" si="141"/>
        <v>#N/A</v>
      </c>
      <c r="AD300" s="323" t="e">
        <f t="shared" ca="1" si="142"/>
        <v>#N/A</v>
      </c>
      <c r="AE300" s="324">
        <f t="shared" ca="1" si="121"/>
        <v>327.52067969422876</v>
      </c>
      <c r="AG300" s="306">
        <f t="shared" ca="1" si="143"/>
        <v>30.393155732363518</v>
      </c>
      <c r="AH300" s="304">
        <f t="shared" ca="1" si="144"/>
        <v>40.139518219568231</v>
      </c>
    </row>
    <row r="301" spans="1:34" x14ac:dyDescent="0.2">
      <c r="A301" s="347">
        <f t="shared" ca="1" si="122"/>
        <v>0.01</v>
      </c>
      <c r="B301" s="304">
        <f t="shared" ca="1" si="123"/>
        <v>2.9699999999999807</v>
      </c>
      <c r="D301" s="306">
        <f t="shared" ca="1" si="124"/>
        <v>4.5321358789947883</v>
      </c>
      <c r="E301" s="307">
        <f t="shared" ca="1" si="125"/>
        <v>29.765239861340845</v>
      </c>
      <c r="F301" s="304">
        <f t="shared" ca="1" si="126"/>
        <v>30.108300510470958</v>
      </c>
      <c r="G301" s="306">
        <f t="shared" ca="1" si="127"/>
        <v>22.087989173427083</v>
      </c>
      <c r="H301" s="307">
        <f t="shared" ca="1" si="128"/>
        <v>192.7772887641508</v>
      </c>
      <c r="I301" s="304">
        <f t="shared" ca="1" si="129"/>
        <v>194.03855887163823</v>
      </c>
      <c r="J301" s="306">
        <f t="shared" ca="1" si="130"/>
        <v>35.277153400516831</v>
      </c>
      <c r="K301" s="307">
        <f t="shared" ca="1" si="131"/>
        <v>329.44696431987722</v>
      </c>
      <c r="L301" s="304">
        <f t="shared" ca="1" si="116"/>
        <v>331.33031834051354</v>
      </c>
      <c r="M301" s="306">
        <f t="shared" ca="1" si="132"/>
        <v>1.4567160525881713</v>
      </c>
      <c r="N301" s="304">
        <f t="shared" ca="1" si="133"/>
        <v>83.463681762259498</v>
      </c>
      <c r="P301" s="310">
        <f t="shared" ca="1" si="134"/>
        <v>7</v>
      </c>
      <c r="Q301" s="304">
        <f t="shared" ca="1" si="135"/>
        <v>418.02127659574865</v>
      </c>
      <c r="R301" s="306">
        <f t="shared" ca="1" si="136"/>
        <v>0.2097854023928683</v>
      </c>
      <c r="S301" s="307">
        <f t="shared" ca="1" si="137"/>
        <v>7.5408523491889206</v>
      </c>
      <c r="T301" s="304">
        <f t="shared" ca="1" si="117"/>
        <v>73.975761545543321</v>
      </c>
      <c r="U301" s="311">
        <f t="shared" ca="1" si="118"/>
        <v>0</v>
      </c>
      <c r="V301" s="306">
        <f t="shared" ca="1" si="119"/>
        <v>1.1852967525875</v>
      </c>
      <c r="W301" s="304">
        <f t="shared" ca="1" si="120"/>
        <v>117.98263163575201</v>
      </c>
      <c r="Y301" s="314" t="str">
        <f t="shared" ca="1" si="138"/>
        <v/>
      </c>
      <c r="Z301" s="315" t="str">
        <f t="shared" ca="1" si="139"/>
        <v/>
      </c>
      <c r="AA301" s="316" t="str">
        <f t="shared" ca="1" si="140"/>
        <v/>
      </c>
      <c r="AC301" s="310" t="e">
        <f t="shared" ca="1" si="141"/>
        <v>#N/A</v>
      </c>
      <c r="AD301" s="323" t="e">
        <f t="shared" ca="1" si="142"/>
        <v>#N/A</v>
      </c>
      <c r="AE301" s="324">
        <f t="shared" ca="1" si="121"/>
        <v>329.44696431987722</v>
      </c>
      <c r="AG301" s="306">
        <f t="shared" ca="1" si="143"/>
        <v>30.087605236878836</v>
      </c>
      <c r="AH301" s="304">
        <f t="shared" ca="1" si="144"/>
        <v>39.833903470640855</v>
      </c>
    </row>
    <row r="302" spans="1:34" x14ac:dyDescent="0.2">
      <c r="A302" s="347">
        <f t="shared" ca="1" si="122"/>
        <v>0.01</v>
      </c>
      <c r="B302" s="304">
        <f t="shared" ca="1" si="123"/>
        <v>2.9799999999999804</v>
      </c>
      <c r="D302" s="306">
        <f t="shared" ca="1" si="124"/>
        <v>4.452034591085801</v>
      </c>
      <c r="E302" s="307">
        <f t="shared" ca="1" si="125"/>
        <v>29.046011346938386</v>
      </c>
      <c r="F302" s="304">
        <f t="shared" ca="1" si="126"/>
        <v>29.385223959784586</v>
      </c>
      <c r="G302" s="306">
        <f t="shared" ca="1" si="127"/>
        <v>22.13250951933794</v>
      </c>
      <c r="H302" s="307">
        <f t="shared" ca="1" si="128"/>
        <v>193.06774887762018</v>
      </c>
      <c r="I302" s="304">
        <f t="shared" ca="1" si="129"/>
        <v>194.33219917012053</v>
      </c>
      <c r="J302" s="306">
        <f t="shared" ca="1" si="130"/>
        <v>35.498255893980655</v>
      </c>
      <c r="K302" s="307">
        <f t="shared" ca="1" si="131"/>
        <v>331.3761895080861</v>
      </c>
      <c r="L302" s="304">
        <f t="shared" ca="1" si="116"/>
        <v>333.27211876245144</v>
      </c>
      <c r="M302" s="306">
        <f t="shared" ca="1" si="132"/>
        <v>1.456658589047426</v>
      </c>
      <c r="N302" s="304">
        <f t="shared" ca="1" si="133"/>
        <v>83.46038934389891</v>
      </c>
      <c r="P302" s="310">
        <f t="shared" ca="1" si="134"/>
        <v>8</v>
      </c>
      <c r="Q302" s="304">
        <f t="shared" ca="1" si="135"/>
        <v>412.82608695653812</v>
      </c>
      <c r="R302" s="306">
        <f t="shared" ca="1" si="136"/>
        <v>0.20717817876577282</v>
      </c>
      <c r="S302" s="307">
        <f t="shared" ca="1" si="137"/>
        <v>7.5387805674012629</v>
      </c>
      <c r="T302" s="304">
        <f t="shared" ca="1" si="117"/>
        <v>73.955437366206397</v>
      </c>
      <c r="U302" s="311">
        <f t="shared" ca="1" si="118"/>
        <v>0</v>
      </c>
      <c r="V302" s="306">
        <f t="shared" ca="1" si="119"/>
        <v>1.1850680417927748</v>
      </c>
      <c r="W302" s="304">
        <f t="shared" ca="1" si="120"/>
        <v>118.31715570758</v>
      </c>
      <c r="Y302" s="314" t="str">
        <f t="shared" ca="1" si="138"/>
        <v/>
      </c>
      <c r="Z302" s="315" t="str">
        <f t="shared" ca="1" si="139"/>
        <v/>
      </c>
      <c r="AA302" s="316" t="str">
        <f t="shared" ca="1" si="140"/>
        <v/>
      </c>
      <c r="AC302" s="310" t="e">
        <f t="shared" ca="1" si="141"/>
        <v>#N/A</v>
      </c>
      <c r="AD302" s="323" t="e">
        <f t="shared" ca="1" si="142"/>
        <v>#N/A</v>
      </c>
      <c r="AE302" s="324">
        <f t="shared" ca="1" si="121"/>
        <v>331.3761895080861</v>
      </c>
      <c r="AG302" s="306">
        <f t="shared" ca="1" si="143"/>
        <v>29.363997763415586</v>
      </c>
      <c r="AH302" s="304">
        <f t="shared" ca="1" si="144"/>
        <v>39.110231778827767</v>
      </c>
    </row>
    <row r="303" spans="1:34" x14ac:dyDescent="0.2">
      <c r="A303" s="347">
        <f t="shared" ca="1" si="122"/>
        <v>0.01</v>
      </c>
      <c r="B303" s="304">
        <f t="shared" ca="1" si="123"/>
        <v>2.9899999999999802</v>
      </c>
      <c r="D303" s="306">
        <f t="shared" ca="1" si="124"/>
        <v>4.3242654911948062</v>
      </c>
      <c r="E303" s="307">
        <f t="shared" ca="1" si="125"/>
        <v>27.911714440230902</v>
      </c>
      <c r="F303" s="304">
        <f t="shared" ca="1" si="126"/>
        <v>28.244699945854133</v>
      </c>
      <c r="G303" s="306">
        <f t="shared" ca="1" si="127"/>
        <v>22.17575217424989</v>
      </c>
      <c r="H303" s="307">
        <f t="shared" ca="1" si="128"/>
        <v>193.34686602202248</v>
      </c>
      <c r="I303" s="304">
        <f t="shared" ca="1" si="129"/>
        <v>194.61442542892772</v>
      </c>
      <c r="J303" s="306">
        <f t="shared" ca="1" si="130"/>
        <v>35.719797202448596</v>
      </c>
      <c r="K303" s="307">
        <f t="shared" ca="1" si="131"/>
        <v>333.30826258258429</v>
      </c>
      <c r="L303" s="304">
        <f t="shared" ca="1" si="116"/>
        <v>335.21679823362825</v>
      </c>
      <c r="M303" s="306">
        <f t="shared" ca="1" si="132"/>
        <v>1.4566011800617702</v>
      </c>
      <c r="N303" s="304">
        <f t="shared" ca="1" si="133"/>
        <v>83.457100051314711</v>
      </c>
      <c r="P303" s="310">
        <f t="shared" ca="1" si="134"/>
        <v>8</v>
      </c>
      <c r="Q303" s="304">
        <f t="shared" ca="1" si="135"/>
        <v>404.47826086958179</v>
      </c>
      <c r="R303" s="306">
        <f t="shared" ca="1" si="136"/>
        <v>0.20298879379231038</v>
      </c>
      <c r="S303" s="307">
        <f t="shared" ca="1" si="137"/>
        <v>7.5367506794633394</v>
      </c>
      <c r="T303" s="304">
        <f t="shared" ca="1" si="117"/>
        <v>73.935524165535369</v>
      </c>
      <c r="U303" s="311">
        <f t="shared" ca="1" si="118"/>
        <v>0</v>
      </c>
      <c r="V303" s="306">
        <f t="shared" ca="1" si="119"/>
        <v>1.1848390368757626</v>
      </c>
      <c r="W303" s="304">
        <f t="shared" ca="1" si="120"/>
        <v>118.6381360486219</v>
      </c>
      <c r="Y303" s="314" t="str">
        <f t="shared" ca="1" si="138"/>
        <v/>
      </c>
      <c r="Z303" s="315" t="str">
        <f t="shared" ca="1" si="139"/>
        <v/>
      </c>
      <c r="AA303" s="316" t="str">
        <f t="shared" ca="1" si="140"/>
        <v/>
      </c>
      <c r="AC303" s="310" t="e">
        <f t="shared" ca="1" si="141"/>
        <v>#N/A</v>
      </c>
      <c r="AD303" s="323" t="e">
        <f t="shared" ca="1" si="142"/>
        <v>#N/A</v>
      </c>
      <c r="AE303" s="324">
        <f t="shared" ca="1" si="121"/>
        <v>333.30826258258429</v>
      </c>
      <c r="AG303" s="306">
        <f t="shared" ca="1" si="143"/>
        <v>28.222593810288306</v>
      </c>
      <c r="AH303" s="304">
        <f t="shared" ca="1" si="144"/>
        <v>37.96876363997994</v>
      </c>
    </row>
    <row r="304" spans="1:34" x14ac:dyDescent="0.2">
      <c r="A304" s="347">
        <f t="shared" ca="1" si="122"/>
        <v>0.01</v>
      </c>
      <c r="B304" s="304">
        <f t="shared" ca="1" si="123"/>
        <v>2.99999999999998</v>
      </c>
      <c r="D304" s="306">
        <f t="shared" ca="1" si="124"/>
        <v>4.1964754558399573</v>
      </c>
      <c r="E304" s="307">
        <f t="shared" ca="1" si="125"/>
        <v>26.778403917462143</v>
      </c>
      <c r="F304" s="304">
        <f t="shared" ca="1" si="126"/>
        <v>27.105226850521269</v>
      </c>
      <c r="G304" s="306">
        <f t="shared" ca="1" si="127"/>
        <v>22.21771692880829</v>
      </c>
      <c r="H304" s="307">
        <f t="shared" ca="1" si="128"/>
        <v>193.6146500611971</v>
      </c>
      <c r="I304" s="304">
        <f t="shared" ca="1" si="129"/>
        <v>194.88524742485887</v>
      </c>
      <c r="J304" s="306">
        <f t="shared" ca="1" si="130"/>
        <v>35.941764547963885</v>
      </c>
      <c r="K304" s="307">
        <f t="shared" ca="1" si="131"/>
        <v>335.24307016300037</v>
      </c>
      <c r="L304" s="304">
        <f t="shared" ca="1" si="116"/>
        <v>337.16424266392136</v>
      </c>
      <c r="M304" s="306">
        <f t="shared" ca="1" si="132"/>
        <v>1.4565438221444091</v>
      </c>
      <c r="N304" s="304">
        <f t="shared" ca="1" si="133"/>
        <v>83.45381368472826</v>
      </c>
      <c r="P304" s="310">
        <f t="shared" ca="1" si="134"/>
        <v>8</v>
      </c>
      <c r="Q304" s="304">
        <f t="shared" ca="1" si="135"/>
        <v>396.13043478262546</v>
      </c>
      <c r="R304" s="306">
        <f t="shared" ca="1" si="136"/>
        <v>0.19879940881884794</v>
      </c>
      <c r="S304" s="307">
        <f t="shared" ca="1" si="137"/>
        <v>7.534762685375151</v>
      </c>
      <c r="T304" s="304">
        <f t="shared" ca="1" si="117"/>
        <v>73.916021943530239</v>
      </c>
      <c r="U304" s="311">
        <f t="shared" ca="1" si="118"/>
        <v>0</v>
      </c>
      <c r="V304" s="306">
        <f t="shared" ca="1" si="119"/>
        <v>1.184609751451436</v>
      </c>
      <c r="W304" s="304">
        <f t="shared" ca="1" si="120"/>
        <v>118.94553292921894</v>
      </c>
      <c r="Y304" s="314" t="str">
        <f t="shared" ca="1" si="138"/>
        <v/>
      </c>
      <c r="Z304" s="315" t="str">
        <f t="shared" ca="1" si="139"/>
        <v/>
      </c>
      <c r="AA304" s="316" t="str">
        <f t="shared" ca="1" si="140"/>
        <v/>
      </c>
      <c r="AC304" s="310">
        <f t="shared" ca="1" si="141"/>
        <v>2.99999999999998</v>
      </c>
      <c r="AD304" s="323">
        <f t="shared" ca="1" si="142"/>
        <v>35.941764547963885</v>
      </c>
      <c r="AE304" s="324">
        <f t="shared" ca="1" si="121"/>
        <v>335.24307016300037</v>
      </c>
      <c r="AG304" s="306">
        <f t="shared" ca="1" si="143"/>
        <v>27.082167535170591</v>
      </c>
      <c r="AH304" s="304">
        <f t="shared" ca="1" si="144"/>
        <v>36.828273207942104</v>
      </c>
    </row>
    <row r="305" spans="1:34" x14ac:dyDescent="0.2">
      <c r="A305" s="347">
        <f t="shared" ca="1" si="122"/>
        <v>0.01</v>
      </c>
      <c r="B305" s="304">
        <f t="shared" ca="1" si="123"/>
        <v>3.0099999999999798</v>
      </c>
      <c r="D305" s="306">
        <f t="shared" ca="1" si="124"/>
        <v>4.0686678215650858</v>
      </c>
      <c r="E305" s="307">
        <f t="shared" ca="1" si="125"/>
        <v>25.646104648905101</v>
      </c>
      <c r="F305" s="304">
        <f t="shared" ca="1" si="126"/>
        <v>25.966839266742326</v>
      </c>
      <c r="G305" s="306">
        <f t="shared" ca="1" si="127"/>
        <v>22.25840360702394</v>
      </c>
      <c r="H305" s="307">
        <f t="shared" ca="1" si="128"/>
        <v>193.87111110768615</v>
      </c>
      <c r="I305" s="304">
        <f t="shared" ca="1" si="129"/>
        <v>195.14467518551965</v>
      </c>
      <c r="J305" s="306">
        <f t="shared" ca="1" si="130"/>
        <v>36.164145150643044</v>
      </c>
      <c r="K305" s="307">
        <f t="shared" ca="1" si="131"/>
        <v>337.1804989688448</v>
      </c>
      <c r="L305" s="304">
        <f t="shared" ca="1" si="116"/>
        <v>339.11433806218804</v>
      </c>
      <c r="M305" s="306">
        <f t="shared" ca="1" si="132"/>
        <v>1.4564865118332213</v>
      </c>
      <c r="N305" s="304">
        <f t="shared" ca="1" si="133"/>
        <v>83.450530045774613</v>
      </c>
      <c r="P305" s="310">
        <f t="shared" ca="1" si="134"/>
        <v>8</v>
      </c>
      <c r="Q305" s="304">
        <f t="shared" ca="1" si="135"/>
        <v>387.78260869566913</v>
      </c>
      <c r="R305" s="306">
        <f t="shared" ca="1" si="136"/>
        <v>0.1946100238453855</v>
      </c>
      <c r="S305" s="307">
        <f t="shared" ca="1" si="137"/>
        <v>7.5328165851366968</v>
      </c>
      <c r="T305" s="304">
        <f t="shared" ca="1" si="117"/>
        <v>73.896930700191007</v>
      </c>
      <c r="U305" s="311">
        <f t="shared" ca="1" si="118"/>
        <v>0</v>
      </c>
      <c r="V305" s="306">
        <f t="shared" ca="1" si="119"/>
        <v>1.1843801991128733</v>
      </c>
      <c r="W305" s="304">
        <f t="shared" ca="1" si="120"/>
        <v>119.23930950728096</v>
      </c>
      <c r="Y305" s="314" t="str">
        <f t="shared" ca="1" si="138"/>
        <v/>
      </c>
      <c r="Z305" s="315" t="str">
        <f t="shared" ca="1" si="139"/>
        <v/>
      </c>
      <c r="AA305" s="316" t="str">
        <f t="shared" ca="1" si="140"/>
        <v/>
      </c>
      <c r="AC305" s="310" t="e">
        <f t="shared" ca="1" si="141"/>
        <v>#N/A</v>
      </c>
      <c r="AD305" s="323" t="e">
        <f t="shared" ca="1" si="142"/>
        <v>#N/A</v>
      </c>
      <c r="AE305" s="324">
        <f t="shared" ca="1" si="121"/>
        <v>337.1804989688448</v>
      </c>
      <c r="AG305" s="306">
        <f t="shared" ca="1" si="143"/>
        <v>25.942744018717235</v>
      </c>
      <c r="AH305" s="304">
        <f t="shared" ca="1" si="144"/>
        <v>35.688785559561275</v>
      </c>
    </row>
    <row r="306" spans="1:34" x14ac:dyDescent="0.2">
      <c r="A306" s="347">
        <f t="shared" ca="1" si="122"/>
        <v>0.01</v>
      </c>
      <c r="B306" s="304">
        <f t="shared" ca="1" si="123"/>
        <v>3.0199999999999796</v>
      </c>
      <c r="D306" s="306">
        <f t="shared" ca="1" si="124"/>
        <v>3.9408458691115582</v>
      </c>
      <c r="E306" s="307">
        <f t="shared" ca="1" si="125"/>
        <v>24.514841117882177</v>
      </c>
      <c r="F306" s="304">
        <f t="shared" ca="1" si="126"/>
        <v>24.829573117536683</v>
      </c>
      <c r="G306" s="306">
        <f t="shared" ca="1" si="127"/>
        <v>22.297812065715057</v>
      </c>
      <c r="H306" s="307">
        <f t="shared" ca="1" si="128"/>
        <v>194.11625951886498</v>
      </c>
      <c r="I306" s="304">
        <f t="shared" ca="1" si="129"/>
        <v>195.39271898541483</v>
      </c>
      <c r="J306" s="306">
        <f t="shared" ca="1" si="130"/>
        <v>36.38692622900674</v>
      </c>
      <c r="K306" s="307">
        <f t="shared" ca="1" si="131"/>
        <v>339.12043582197754</v>
      </c>
      <c r="L306" s="304">
        <f t="shared" ca="1" si="116"/>
        <v>341.06697053875382</v>
      </c>
      <c r="M306" s="306">
        <f t="shared" ca="1" si="132"/>
        <v>1.4564292456894881</v>
      </c>
      <c r="N306" s="304">
        <f t="shared" ca="1" si="133"/>
        <v>83.447248937429706</v>
      </c>
      <c r="P306" s="310">
        <f t="shared" ca="1" si="134"/>
        <v>8</v>
      </c>
      <c r="Q306" s="304">
        <f t="shared" ca="1" si="135"/>
        <v>379.43478260871274</v>
      </c>
      <c r="R306" s="306">
        <f t="shared" ca="1" si="136"/>
        <v>0.19042063887192304</v>
      </c>
      <c r="S306" s="307">
        <f t="shared" ca="1" si="137"/>
        <v>7.5309123787479777</v>
      </c>
      <c r="T306" s="304">
        <f t="shared" ca="1" si="117"/>
        <v>73.878250435517671</v>
      </c>
      <c r="U306" s="311">
        <f t="shared" ca="1" si="118"/>
        <v>0</v>
      </c>
      <c r="V306" s="306">
        <f t="shared" ca="1" si="119"/>
        <v>1.1841503934309505</v>
      </c>
      <c r="W306" s="304">
        <f t="shared" ca="1" si="120"/>
        <v>119.51943181424997</v>
      </c>
      <c r="Y306" s="314" t="str">
        <f t="shared" ca="1" si="138"/>
        <v/>
      </c>
      <c r="Z306" s="315" t="str">
        <f t="shared" ca="1" si="139"/>
        <v/>
      </c>
      <c r="AA306" s="316" t="str">
        <f t="shared" ca="1" si="140"/>
        <v/>
      </c>
      <c r="AC306" s="310" t="e">
        <f t="shared" ca="1" si="141"/>
        <v>#N/A</v>
      </c>
      <c r="AD306" s="323" t="e">
        <f t="shared" ca="1" si="142"/>
        <v>#N/A</v>
      </c>
      <c r="AE306" s="324">
        <f t="shared" ca="1" si="121"/>
        <v>339.12043582197754</v>
      </c>
      <c r="AG306" s="306">
        <f t="shared" ca="1" si="143"/>
        <v>24.804347950864013</v>
      </c>
      <c r="AH306" s="304">
        <f t="shared" ca="1" si="144"/>
        <v>34.550325380985186</v>
      </c>
    </row>
    <row r="307" spans="1:34" x14ac:dyDescent="0.2">
      <c r="A307" s="347">
        <f t="shared" ca="1" si="122"/>
        <v>0.01</v>
      </c>
      <c r="B307" s="304">
        <f t="shared" ca="1" si="123"/>
        <v>3.0299999999999794</v>
      </c>
      <c r="D307" s="306">
        <f t="shared" ca="1" si="124"/>
        <v>3.8130128235104395</v>
      </c>
      <c r="E307" s="307">
        <f t="shared" ca="1" si="125"/>
        <v>23.384637420744497</v>
      </c>
      <c r="F307" s="304">
        <f t="shared" ca="1" si="126"/>
        <v>23.693466063282909</v>
      </c>
      <c r="G307" s="306">
        <f t="shared" ca="1" si="127"/>
        <v>22.33594219395016</v>
      </c>
      <c r="H307" s="307">
        <f t="shared" ca="1" si="128"/>
        <v>194.35010589307242</v>
      </c>
      <c r="I307" s="304">
        <f t="shared" ca="1" si="129"/>
        <v>195.62938934204121</v>
      </c>
      <c r="J307" s="306">
        <f t="shared" ca="1" si="130"/>
        <v>36.610095000305066</v>
      </c>
      <c r="K307" s="307">
        <f t="shared" ca="1" si="131"/>
        <v>341.0627676490372</v>
      </c>
      <c r="L307" s="304">
        <f t="shared" ca="1" si="116"/>
        <v>343.02202630786337</v>
      </c>
      <c r="M307" s="306">
        <f t="shared" ca="1" si="132"/>
        <v>1.4563720202966437</v>
      </c>
      <c r="N307" s="304">
        <f t="shared" ca="1" si="133"/>
        <v>83.443970163938758</v>
      </c>
      <c r="P307" s="310">
        <f t="shared" ca="1" si="134"/>
        <v>8</v>
      </c>
      <c r="Q307" s="304">
        <f t="shared" ca="1" si="135"/>
        <v>371.08695652175641</v>
      </c>
      <c r="R307" s="306">
        <f t="shared" ca="1" si="136"/>
        <v>0.1862312538984606</v>
      </c>
      <c r="S307" s="307">
        <f t="shared" ca="1" si="137"/>
        <v>7.5290500662089928</v>
      </c>
      <c r="T307" s="304">
        <f t="shared" ca="1" si="117"/>
        <v>73.859981149510219</v>
      </c>
      <c r="U307" s="311">
        <f t="shared" ca="1" si="118"/>
        <v>0</v>
      </c>
      <c r="V307" s="306">
        <f t="shared" ca="1" si="119"/>
        <v>1.1839203479540359</v>
      </c>
      <c r="W307" s="304">
        <f t="shared" ca="1" si="120"/>
        <v>119.78586874076257</v>
      </c>
      <c r="Y307" s="314" t="str">
        <f t="shared" ca="1" si="138"/>
        <v/>
      </c>
      <c r="Z307" s="315" t="str">
        <f t="shared" ca="1" si="139"/>
        <v/>
      </c>
      <c r="AA307" s="316" t="str">
        <f t="shared" ca="1" si="140"/>
        <v/>
      </c>
      <c r="AC307" s="310" t="e">
        <f t="shared" ca="1" si="141"/>
        <v>#N/A</v>
      </c>
      <c r="AD307" s="323" t="e">
        <f t="shared" ca="1" si="142"/>
        <v>#N/A</v>
      </c>
      <c r="AE307" s="324">
        <f t="shared" ca="1" si="121"/>
        <v>341.0627676490372</v>
      </c>
      <c r="AG307" s="306">
        <f t="shared" ca="1" si="143"/>
        <v>23.667003630814847</v>
      </c>
      <c r="AH307" s="304">
        <f t="shared" ca="1" si="144"/>
        <v>33.412916967648094</v>
      </c>
    </row>
    <row r="308" spans="1:34" x14ac:dyDescent="0.2">
      <c r="A308" s="347">
        <f t="shared" ca="1" si="122"/>
        <v>0.01</v>
      </c>
      <c r="B308" s="304">
        <f t="shared" ca="1" si="123"/>
        <v>3.0399999999999792</v>
      </c>
      <c r="D308" s="306">
        <f t="shared" ca="1" si="124"/>
        <v>3.6851718541752279</v>
      </c>
      <c r="E308" s="307">
        <f t="shared" ca="1" si="125"/>
        <v>22.255517266923981</v>
      </c>
      <c r="F308" s="304">
        <f t="shared" ca="1" si="126"/>
        <v>22.558558030449479</v>
      </c>
      <c r="G308" s="306">
        <f t="shared" ca="1" si="127"/>
        <v>22.372793912491911</v>
      </c>
      <c r="H308" s="307">
        <f t="shared" ca="1" si="128"/>
        <v>194.57266106574167</v>
      </c>
      <c r="I308" s="304">
        <f t="shared" ca="1" si="129"/>
        <v>195.85469701198085</v>
      </c>
      <c r="J308" s="306">
        <f t="shared" ca="1" si="130"/>
        <v>36.833638680837275</v>
      </c>
      <c r="K308" s="307">
        <f t="shared" ca="1" si="131"/>
        <v>343.0073814838313</v>
      </c>
      <c r="L308" s="304">
        <f t="shared" ca="1" si="116"/>
        <v>344.97939169009072</v>
      </c>
      <c r="M308" s="306">
        <f t="shared" ca="1" si="132"/>
        <v>1.4563148322590491</v>
      </c>
      <c r="N308" s="304">
        <f t="shared" ca="1" si="133"/>
        <v>83.440693530745946</v>
      </c>
      <c r="P308" s="310">
        <f t="shared" ca="1" si="134"/>
        <v>8</v>
      </c>
      <c r="Q308" s="304">
        <f t="shared" ca="1" si="135"/>
        <v>362.73913043480007</v>
      </c>
      <c r="R308" s="306">
        <f t="shared" ca="1" si="136"/>
        <v>0.18204186892499816</v>
      </c>
      <c r="S308" s="307">
        <f t="shared" ca="1" si="137"/>
        <v>7.5272296475197429</v>
      </c>
      <c r="T308" s="304">
        <f t="shared" ca="1" si="117"/>
        <v>73.842122842168678</v>
      </c>
      <c r="U308" s="311">
        <f t="shared" ca="1" si="118"/>
        <v>0</v>
      </c>
      <c r="V308" s="306">
        <f t="shared" ca="1" si="119"/>
        <v>1.1836900762076954</v>
      </c>
      <c r="W308" s="304">
        <f t="shared" ca="1" si="120"/>
        <v>120.03859202202074</v>
      </c>
      <c r="Y308" s="314" t="str">
        <f t="shared" ca="1" si="138"/>
        <v/>
      </c>
      <c r="Z308" s="315" t="str">
        <f t="shared" ca="1" si="139"/>
        <v/>
      </c>
      <c r="AA308" s="316" t="str">
        <f t="shared" ca="1" si="140"/>
        <v/>
      </c>
      <c r="AC308" s="310" t="e">
        <f t="shared" ca="1" si="141"/>
        <v>#N/A</v>
      </c>
      <c r="AD308" s="323" t="e">
        <f t="shared" ca="1" si="142"/>
        <v>#N/A</v>
      </c>
      <c r="AE308" s="324">
        <f t="shared" ca="1" si="121"/>
        <v>343.0073814838313</v>
      </c>
      <c r="AG308" s="306">
        <f t="shared" ca="1" si="143"/>
        <v>22.530734967101331</v>
      </c>
      <c r="AH308" s="304">
        <f t="shared" ca="1" si="144"/>
        <v>32.276584224329028</v>
      </c>
    </row>
    <row r="309" spans="1:34" x14ac:dyDescent="0.2">
      <c r="A309" s="347">
        <f t="shared" ca="1" si="122"/>
        <v>0.01</v>
      </c>
      <c r="B309" s="304">
        <f t="shared" ca="1" si="123"/>
        <v>3.049999999999979</v>
      </c>
      <c r="D309" s="306">
        <f t="shared" ca="1" si="124"/>
        <v>3.5573260749951343</v>
      </c>
      <c r="E309" s="307">
        <f t="shared" ca="1" si="125"/>
        <v>21.127503979057558</v>
      </c>
      <c r="F309" s="304">
        <f t="shared" ca="1" si="126"/>
        <v>21.424891906120163</v>
      </c>
      <c r="G309" s="306">
        <f t="shared" ca="1" si="127"/>
        <v>22.408367173241864</v>
      </c>
      <c r="H309" s="307">
        <f t="shared" ca="1" si="128"/>
        <v>194.78393610553223</v>
      </c>
      <c r="I309" s="304">
        <f t="shared" ca="1" si="129"/>
        <v>196.06865298699557</v>
      </c>
      <c r="J309" s="306">
        <f t="shared" ca="1" si="130"/>
        <v>37.057544486265947</v>
      </c>
      <c r="K309" s="307">
        <f t="shared" ca="1" si="131"/>
        <v>344.95416446968767</v>
      </c>
      <c r="L309" s="304">
        <f t="shared" ca="1" si="116"/>
        <v>346.93895311471141</v>
      </c>
      <c r="M309" s="306">
        <f t="shared" ca="1" si="132"/>
        <v>1.4562576782007808</v>
      </c>
      <c r="N309" s="304">
        <f t="shared" ca="1" si="133"/>
        <v>83.437418844425125</v>
      </c>
      <c r="P309" s="310">
        <f t="shared" ca="1" si="134"/>
        <v>8</v>
      </c>
      <c r="Q309" s="304">
        <f t="shared" ca="1" si="135"/>
        <v>354.39130434784374</v>
      </c>
      <c r="R309" s="306">
        <f t="shared" ca="1" si="136"/>
        <v>0.17785248395153572</v>
      </c>
      <c r="S309" s="307">
        <f t="shared" ca="1" si="137"/>
        <v>7.5254511226802272</v>
      </c>
      <c r="T309" s="304">
        <f t="shared" ca="1" si="117"/>
        <v>73.824675513493034</v>
      </c>
      <c r="U309" s="311">
        <f t="shared" ca="1" si="118"/>
        <v>0</v>
      </c>
      <c r="V309" s="306">
        <f t="shared" ca="1" si="119"/>
        <v>1.1834595916944028</v>
      </c>
      <c r="W309" s="304">
        <f t="shared" ca="1" si="120"/>
        <v>120.27757622287886</v>
      </c>
      <c r="Y309" s="314" t="str">
        <f t="shared" ca="1" si="138"/>
        <v/>
      </c>
      <c r="Z309" s="315" t="str">
        <f t="shared" ca="1" si="139"/>
        <v/>
      </c>
      <c r="AA309" s="316" t="str">
        <f t="shared" ca="1" si="140"/>
        <v/>
      </c>
      <c r="AC309" s="310" t="e">
        <f t="shared" ca="1" si="141"/>
        <v>#N/A</v>
      </c>
      <c r="AD309" s="323" t="e">
        <f t="shared" ca="1" si="142"/>
        <v>#N/A</v>
      </c>
      <c r="AE309" s="324">
        <f t="shared" ca="1" si="121"/>
        <v>344.95416446968767</v>
      </c>
      <c r="AG309" s="306">
        <f t="shared" ca="1" si="143"/>
        <v>21.395565477714012</v>
      </c>
      <c r="AH309" s="304">
        <f t="shared" ca="1" si="144"/>
        <v>31.141350665281728</v>
      </c>
    </row>
    <row r="310" spans="1:34" x14ac:dyDescent="0.2">
      <c r="A310" s="347">
        <f t="shared" ca="1" si="122"/>
        <v>0.01</v>
      </c>
      <c r="B310" s="304">
        <f t="shared" ca="1" si="123"/>
        <v>3.0599999999999787</v>
      </c>
      <c r="D310" s="306">
        <f t="shared" ca="1" si="124"/>
        <v>3.4294785444291795</v>
      </c>
      <c r="E310" s="307">
        <f t="shared" ca="1" si="125"/>
        <v>20.000620493181863</v>
      </c>
      <c r="F310" s="304">
        <f t="shared" ca="1" si="126"/>
        <v>20.292514462209617</v>
      </c>
      <c r="G310" s="306">
        <f t="shared" ca="1" si="127"/>
        <v>22.442661958686156</v>
      </c>
      <c r="H310" s="307">
        <f t="shared" ca="1" si="128"/>
        <v>194.98394231046404</v>
      </c>
      <c r="I310" s="304">
        <f t="shared" ca="1" si="129"/>
        <v>196.2712684901237</v>
      </c>
      <c r="J310" s="306">
        <f t="shared" ca="1" si="130"/>
        <v>37.281799631925587</v>
      </c>
      <c r="K310" s="307">
        <f t="shared" ca="1" si="131"/>
        <v>346.90300386176767</v>
      </c>
      <c r="L310" s="304">
        <f t="shared" ca="1" si="116"/>
        <v>348.90059712203509</v>
      </c>
      <c r="M310" s="306">
        <f t="shared" ca="1" si="132"/>
        <v>1.4562005547644412</v>
      </c>
      <c r="N310" s="304">
        <f t="shared" ca="1" si="133"/>
        <v>83.434145912611584</v>
      </c>
      <c r="P310" s="310">
        <f t="shared" ca="1" si="134"/>
        <v>8</v>
      </c>
      <c r="Q310" s="304">
        <f t="shared" ca="1" si="135"/>
        <v>346.04347826088735</v>
      </c>
      <c r="R310" s="306">
        <f t="shared" ca="1" si="136"/>
        <v>0.17366309897807322</v>
      </c>
      <c r="S310" s="307">
        <f t="shared" ca="1" si="137"/>
        <v>7.5237144916904466</v>
      </c>
      <c r="T310" s="304">
        <f t="shared" ca="1" si="117"/>
        <v>73.807639163483287</v>
      </c>
      <c r="U310" s="311">
        <f t="shared" ca="1" si="118"/>
        <v>0</v>
      </c>
      <c r="V310" s="306">
        <f t="shared" ca="1" si="119"/>
        <v>1.1832289078932543</v>
      </c>
      <c r="W310" s="304">
        <f t="shared" ca="1" si="120"/>
        <v>120.50279872265671</v>
      </c>
      <c r="Y310" s="314" t="str">
        <f t="shared" ca="1" si="138"/>
        <v/>
      </c>
      <c r="Z310" s="315" t="str">
        <f t="shared" ca="1" si="139"/>
        <v/>
      </c>
      <c r="AA310" s="316" t="str">
        <f t="shared" ca="1" si="140"/>
        <v/>
      </c>
      <c r="AC310" s="310" t="e">
        <f t="shared" ca="1" si="141"/>
        <v>#N/A</v>
      </c>
      <c r="AD310" s="323" t="e">
        <f t="shared" ca="1" si="142"/>
        <v>#N/A</v>
      </c>
      <c r="AE310" s="324">
        <f t="shared" ca="1" si="121"/>
        <v>346.90300386176767</v>
      </c>
      <c r="AG310" s="306">
        <f t="shared" ca="1" si="143"/>
        <v>20.261518290303897</v>
      </c>
      <c r="AH310" s="304">
        <f t="shared" ca="1" si="144"/>
        <v>30.007239414434885</v>
      </c>
    </row>
    <row r="311" spans="1:34" x14ac:dyDescent="0.2">
      <c r="A311" s="347">
        <f t="shared" ca="1" si="122"/>
        <v>0.01</v>
      </c>
      <c r="B311" s="304">
        <f t="shared" ca="1" si="123"/>
        <v>3.0699999999999785</v>
      </c>
      <c r="D311" s="306">
        <f t="shared" ca="1" si="124"/>
        <v>3.3016322656009511</v>
      </c>
      <c r="E311" s="307">
        <f t="shared" ca="1" si="125"/>
        <v>18.874889358997862</v>
      </c>
      <c r="F311" s="304">
        <f t="shared" ca="1" si="126"/>
        <v>19.161477603036463</v>
      </c>
      <c r="G311" s="306">
        <f t="shared" ca="1" si="127"/>
        <v>22.475678281342166</v>
      </c>
      <c r="H311" s="307">
        <f t="shared" ca="1" si="128"/>
        <v>195.17269120405402</v>
      </c>
      <c r="I311" s="304">
        <f t="shared" ca="1" si="129"/>
        <v>196.46255497177935</v>
      </c>
      <c r="J311" s="306">
        <f t="shared" ca="1" si="130"/>
        <v>37.506391333125727</v>
      </c>
      <c r="K311" s="307">
        <f t="shared" ca="1" si="131"/>
        <v>348.85378702934025</v>
      </c>
      <c r="L311" s="304">
        <f t="shared" ca="1" si="116"/>
        <v>350.86421036569953</v>
      </c>
      <c r="M311" s="306">
        <f t="shared" ca="1" si="132"/>
        <v>1.4561434586099857</v>
      </c>
      <c r="N311" s="304">
        <f t="shared" ca="1" si="133"/>
        <v>83.430874543934863</v>
      </c>
      <c r="P311" s="310">
        <f t="shared" ca="1" si="134"/>
        <v>8</v>
      </c>
      <c r="Q311" s="304">
        <f t="shared" ca="1" si="135"/>
        <v>337.69565217393102</v>
      </c>
      <c r="R311" s="306">
        <f t="shared" ca="1" si="136"/>
        <v>0.16947371400461078</v>
      </c>
      <c r="S311" s="307">
        <f t="shared" ca="1" si="137"/>
        <v>7.5220197545504002</v>
      </c>
      <c r="T311" s="304">
        <f t="shared" ca="1" si="117"/>
        <v>73.791013792139424</v>
      </c>
      <c r="U311" s="311">
        <f t="shared" ca="1" si="118"/>
        <v>0</v>
      </c>
      <c r="V311" s="306">
        <f t="shared" ca="1" si="119"/>
        <v>1.1829980382596943</v>
      </c>
      <c r="W311" s="304">
        <f t="shared" ca="1" si="120"/>
        <v>120.71423969968728</v>
      </c>
      <c r="Y311" s="314" t="str">
        <f t="shared" ca="1" si="138"/>
        <v/>
      </c>
      <c r="Z311" s="315" t="str">
        <f t="shared" ca="1" si="139"/>
        <v/>
      </c>
      <c r="AA311" s="316" t="str">
        <f t="shared" ca="1" si="140"/>
        <v/>
      </c>
      <c r="AC311" s="310" t="e">
        <f t="shared" ca="1" si="141"/>
        <v>#N/A</v>
      </c>
      <c r="AD311" s="323" t="e">
        <f t="shared" ca="1" si="142"/>
        <v>#N/A</v>
      </c>
      <c r="AE311" s="324">
        <f t="shared" ca="1" si="121"/>
        <v>348.85378702934025</v>
      </c>
      <c r="AG311" s="306">
        <f t="shared" ca="1" si="143"/>
        <v>19.128616142453495</v>
      </c>
      <c r="AH311" s="304">
        <f t="shared" ca="1" si="144"/>
        <v>28.874273205661925</v>
      </c>
    </row>
    <row r="312" spans="1:34" x14ac:dyDescent="0.2">
      <c r="A312" s="347">
        <f t="shared" ca="1" si="122"/>
        <v>0.01</v>
      </c>
      <c r="B312" s="304">
        <f t="shared" ca="1" si="123"/>
        <v>3.0799999999999783</v>
      </c>
      <c r="D312" s="306">
        <f t="shared" ca="1" si="124"/>
        <v>3.1737901863941542</v>
      </c>
      <c r="E312" s="307">
        <f t="shared" ca="1" si="125"/>
        <v>17.750332740203845</v>
      </c>
      <c r="F312" s="304">
        <f t="shared" ca="1" si="126"/>
        <v>18.031840076243036</v>
      </c>
      <c r="G312" s="306">
        <f t="shared" ca="1" si="127"/>
        <v>22.507416183206107</v>
      </c>
      <c r="H312" s="307">
        <f t="shared" ca="1" si="128"/>
        <v>195.35019453145605</v>
      </c>
      <c r="I312" s="304">
        <f t="shared" ca="1" si="129"/>
        <v>196.64252410585502</v>
      </c>
      <c r="J312" s="306">
        <f t="shared" ca="1" si="130"/>
        <v>37.731306805448469</v>
      </c>
      <c r="K312" s="307">
        <f t="shared" ca="1" si="131"/>
        <v>350.80640145801783</v>
      </c>
      <c r="L312" s="304">
        <f t="shared" ca="1" si="116"/>
        <v>352.82967961492534</v>
      </c>
      <c r="M312" s="306">
        <f t="shared" ca="1" si="132"/>
        <v>1.4560863864135647</v>
      </c>
      <c r="N312" s="304">
        <f t="shared" ca="1" si="133"/>
        <v>83.427604547952384</v>
      </c>
      <c r="P312" s="310">
        <f t="shared" ca="1" si="134"/>
        <v>8</v>
      </c>
      <c r="Q312" s="304">
        <f t="shared" ca="1" si="135"/>
        <v>329.34782608697469</v>
      </c>
      <c r="R312" s="306">
        <f t="shared" ca="1" si="136"/>
        <v>0.16528432903114834</v>
      </c>
      <c r="S312" s="307">
        <f t="shared" ca="1" si="137"/>
        <v>7.5203669112600888</v>
      </c>
      <c r="T312" s="304">
        <f t="shared" ca="1" si="117"/>
        <v>73.774799399461472</v>
      </c>
      <c r="U312" s="311">
        <f t="shared" ca="1" si="118"/>
        <v>0</v>
      </c>
      <c r="V312" s="306">
        <f t="shared" ca="1" si="119"/>
        <v>1.1827669962252421</v>
      </c>
      <c r="W312" s="304">
        <f t="shared" ca="1" si="120"/>
        <v>120.91188211560751</v>
      </c>
      <c r="Y312" s="314" t="str">
        <f t="shared" ca="1" si="138"/>
        <v/>
      </c>
      <c r="Z312" s="315" t="str">
        <f t="shared" ca="1" si="139"/>
        <v/>
      </c>
      <c r="AA312" s="316" t="str">
        <f t="shared" ca="1" si="140"/>
        <v/>
      </c>
      <c r="AC312" s="310" t="e">
        <f t="shared" ca="1" si="141"/>
        <v>#N/A</v>
      </c>
      <c r="AD312" s="323" t="e">
        <f t="shared" ca="1" si="142"/>
        <v>#N/A</v>
      </c>
      <c r="AE312" s="324">
        <f t="shared" ca="1" si="121"/>
        <v>350.80640145801783</v>
      </c>
      <c r="AG312" s="306">
        <f t="shared" ca="1" si="143"/>
        <v>17.9968813820159</v>
      </c>
      <c r="AH312" s="304">
        <f t="shared" ca="1" si="144"/>
        <v>27.742474383118818</v>
      </c>
    </row>
    <row r="313" spans="1:34" x14ac:dyDescent="0.2">
      <c r="A313" s="347">
        <f t="shared" ca="1" si="122"/>
        <v>0.01</v>
      </c>
      <c r="B313" s="304">
        <f t="shared" ca="1" si="123"/>
        <v>3.0899999999999781</v>
      </c>
      <c r="D313" s="306">
        <f t="shared" ca="1" si="124"/>
        <v>3.0459551995490362</v>
      </c>
      <c r="E313" s="307">
        <f t="shared" ca="1" si="125"/>
        <v>16.626972414896009</v>
      </c>
      <c r="F313" s="304">
        <f t="shared" ca="1" si="126"/>
        <v>16.903669860813437</v>
      </c>
      <c r="G313" s="306">
        <f t="shared" ca="1" si="127"/>
        <v>22.537875735201599</v>
      </c>
      <c r="H313" s="307">
        <f t="shared" ca="1" si="128"/>
        <v>195.516464255605</v>
      </c>
      <c r="I313" s="304">
        <f t="shared" ca="1" si="129"/>
        <v>196.81118778582854</v>
      </c>
      <c r="J313" s="306">
        <f t="shared" ca="1" si="130"/>
        <v>37.956533265040505</v>
      </c>
      <c r="K313" s="307">
        <f t="shared" ca="1" si="131"/>
        <v>352.76073475195312</v>
      </c>
      <c r="L313" s="304">
        <f t="shared" ca="1" si="116"/>
        <v>354.79689175673167</v>
      </c>
      <c r="M313" s="306">
        <f t="shared" ca="1" si="132"/>
        <v>1.4560293348663813</v>
      </c>
      <c r="N313" s="304">
        <f t="shared" ca="1" si="133"/>
        <v>83.424335735084085</v>
      </c>
      <c r="P313" s="310">
        <f t="shared" ca="1" si="134"/>
        <v>8</v>
      </c>
      <c r="Q313" s="304">
        <f t="shared" ca="1" si="135"/>
        <v>321.00000000001836</v>
      </c>
      <c r="R313" s="306">
        <f t="shared" ca="1" si="136"/>
        <v>0.1610949440576859</v>
      </c>
      <c r="S313" s="307">
        <f t="shared" ca="1" si="137"/>
        <v>7.5187559618195117</v>
      </c>
      <c r="T313" s="304">
        <f t="shared" ca="1" si="117"/>
        <v>73.758995985449417</v>
      </c>
      <c r="U313" s="311">
        <f t="shared" ca="1" si="118"/>
        <v>0</v>
      </c>
      <c r="V313" s="306">
        <f t="shared" ca="1" si="119"/>
        <v>1.1825357951972302</v>
      </c>
      <c r="W313" s="304">
        <f t="shared" ca="1" si="120"/>
        <v>121.09571169940205</v>
      </c>
      <c r="Y313" s="314" t="str">
        <f t="shared" ca="1" si="138"/>
        <v/>
      </c>
      <c r="Z313" s="315" t="str">
        <f t="shared" ca="1" si="139"/>
        <v/>
      </c>
      <c r="AA313" s="316" t="str">
        <f t="shared" ca="1" si="140"/>
        <v/>
      </c>
      <c r="AC313" s="310" t="e">
        <f t="shared" ca="1" si="141"/>
        <v>#N/A</v>
      </c>
      <c r="AD313" s="323" t="e">
        <f t="shared" ca="1" si="142"/>
        <v>#N/A</v>
      </c>
      <c r="AE313" s="324">
        <f t="shared" ca="1" si="121"/>
        <v>352.76073475195312</v>
      </c>
      <c r="AG313" s="306">
        <f t="shared" ca="1" si="143"/>
        <v>16.866335967521213</v>
      </c>
      <c r="AH313" s="304">
        <f t="shared" ca="1" si="144"/>
        <v>26.61186490164927</v>
      </c>
    </row>
    <row r="314" spans="1:34" x14ac:dyDescent="0.2">
      <c r="A314" s="347">
        <f t="shared" ca="1" si="122"/>
        <v>0.01</v>
      </c>
      <c r="B314" s="304">
        <f t="shared" ca="1" si="123"/>
        <v>3.0999999999999779</v>
      </c>
      <c r="D314" s="306">
        <f t="shared" ca="1" si="124"/>
        <v>2.9181301427596167</v>
      </c>
      <c r="E314" s="307">
        <f t="shared" ca="1" si="125"/>
        <v>15.504829776035258</v>
      </c>
      <c r="F314" s="304">
        <f t="shared" ca="1" si="126"/>
        <v>15.777047566446386</v>
      </c>
      <c r="G314" s="306">
        <f t="shared" ca="1" si="127"/>
        <v>22.567057036629194</v>
      </c>
      <c r="H314" s="307">
        <f t="shared" ca="1" si="128"/>
        <v>195.67151255336535</v>
      </c>
      <c r="I314" s="304">
        <f t="shared" ca="1" si="129"/>
        <v>196.96855812087443</v>
      </c>
      <c r="J314" s="306">
        <f t="shared" ca="1" si="130"/>
        <v>38.18205792889966</v>
      </c>
      <c r="K314" s="307">
        <f t="shared" ca="1" si="131"/>
        <v>354.71667463599795</v>
      </c>
      <c r="L314" s="304">
        <f t="shared" ca="1" si="116"/>
        <v>356.76573379811339</v>
      </c>
      <c r="M314" s="306">
        <f t="shared" ca="1" si="132"/>
        <v>1.4559723006735632</v>
      </c>
      <c r="N314" s="304">
        <f t="shared" ca="1" si="133"/>
        <v>83.421067916547685</v>
      </c>
      <c r="P314" s="310">
        <f t="shared" ca="1" si="134"/>
        <v>8</v>
      </c>
      <c r="Q314" s="304">
        <f t="shared" ca="1" si="135"/>
        <v>312.65217391306203</v>
      </c>
      <c r="R314" s="306">
        <f t="shared" ca="1" si="136"/>
        <v>0.15690555908422346</v>
      </c>
      <c r="S314" s="307">
        <f t="shared" ca="1" si="137"/>
        <v>7.5171869062286696</v>
      </c>
      <c r="T314" s="304">
        <f t="shared" ca="1" si="117"/>
        <v>73.743603550103259</v>
      </c>
      <c r="U314" s="311">
        <f t="shared" ca="1" si="118"/>
        <v>0</v>
      </c>
      <c r="V314" s="306">
        <f t="shared" ca="1" si="119"/>
        <v>1.1823044485585437</v>
      </c>
      <c r="W314" s="304">
        <f t="shared" ca="1" si="120"/>
        <v>121.26571693120705</v>
      </c>
      <c r="Y314" s="314" t="str">
        <f t="shared" ca="1" si="138"/>
        <v/>
      </c>
      <c r="Z314" s="315" t="str">
        <f t="shared" ca="1" si="139"/>
        <v/>
      </c>
      <c r="AA314" s="316" t="str">
        <f t="shared" ca="1" si="140"/>
        <v/>
      </c>
      <c r="AC314" s="310" t="e">
        <f t="shared" ca="1" si="141"/>
        <v>#N/A</v>
      </c>
      <c r="AD314" s="323" t="e">
        <f t="shared" ca="1" si="142"/>
        <v>#N/A</v>
      </c>
      <c r="AE314" s="324">
        <f t="shared" ca="1" si="121"/>
        <v>354.71667463599795</v>
      </c>
      <c r="AG314" s="306">
        <f t="shared" ca="1" si="143"/>
        <v>15.73700146864881</v>
      </c>
      <c r="AH314" s="304">
        <f t="shared" ca="1" si="144"/>
        <v>25.482466327255761</v>
      </c>
    </row>
    <row r="315" spans="1:34" x14ac:dyDescent="0.2">
      <c r="A315" s="347">
        <f t="shared" ca="1" si="122"/>
        <v>0.01</v>
      </c>
      <c r="B315" s="304">
        <f t="shared" ca="1" si="123"/>
        <v>3.1099999999999777</v>
      </c>
      <c r="D315" s="306">
        <f t="shared" ca="1" si="124"/>
        <v>2.7903177987718037</v>
      </c>
      <c r="E315" s="307">
        <f t="shared" ca="1" si="125"/>
        <v>14.383925831979385</v>
      </c>
      <c r="F315" s="304">
        <f t="shared" ca="1" si="126"/>
        <v>14.652071381140161</v>
      </c>
      <c r="G315" s="306">
        <f t="shared" ca="1" si="127"/>
        <v>22.594960214616911</v>
      </c>
      <c r="H315" s="307">
        <f t="shared" ca="1" si="128"/>
        <v>195.81535181168513</v>
      </c>
      <c r="I315" s="304">
        <f t="shared" ca="1" si="129"/>
        <v>197.11464743198093</v>
      </c>
      <c r="J315" s="306">
        <f t="shared" ca="1" si="130"/>
        <v>38.407868015155891</v>
      </c>
      <c r="K315" s="307">
        <f t="shared" ca="1" si="131"/>
        <v>356.67410895782319</v>
      </c>
      <c r="L315" s="304">
        <f t="shared" ca="1" si="116"/>
        <v>358.73609286817901</v>
      </c>
      <c r="M315" s="306">
        <f t="shared" ca="1" si="132"/>
        <v>1.455915280553048</v>
      </c>
      <c r="N315" s="304">
        <f t="shared" ca="1" si="133"/>
        <v>83.417800904294822</v>
      </c>
      <c r="P315" s="310">
        <f t="shared" ca="1" si="134"/>
        <v>8</v>
      </c>
      <c r="Q315" s="304">
        <f t="shared" ca="1" si="135"/>
        <v>304.30434782610564</v>
      </c>
      <c r="R315" s="306">
        <f t="shared" ca="1" si="136"/>
        <v>0.15271617411076099</v>
      </c>
      <c r="S315" s="307">
        <f t="shared" ca="1" si="137"/>
        <v>7.5156597444875617</v>
      </c>
      <c r="T315" s="304">
        <f t="shared" ca="1" si="117"/>
        <v>73.728622093422985</v>
      </c>
      <c r="U315" s="311">
        <f t="shared" ca="1" si="118"/>
        <v>0</v>
      </c>
      <c r="V315" s="306">
        <f t="shared" ca="1" si="119"/>
        <v>1.1820729696673715</v>
      </c>
      <c r="W315" s="304">
        <f t="shared" ca="1" si="120"/>
        <v>121.42188902588481</v>
      </c>
      <c r="Y315" s="314" t="str">
        <f t="shared" ca="1" si="138"/>
        <v/>
      </c>
      <c r="Z315" s="315" t="str">
        <f t="shared" ca="1" si="139"/>
        <v/>
      </c>
      <c r="AA315" s="316" t="str">
        <f t="shared" ca="1" si="140"/>
        <v/>
      </c>
      <c r="AC315" s="310" t="e">
        <f t="shared" ca="1" si="141"/>
        <v>#N/A</v>
      </c>
      <c r="AD315" s="323" t="e">
        <f t="shared" ca="1" si="142"/>
        <v>#N/A</v>
      </c>
      <c r="AE315" s="324">
        <f t="shared" ca="1" si="121"/>
        <v>356.67410895782319</v>
      </c>
      <c r="AG315" s="306">
        <f t="shared" ca="1" si="143"/>
        <v>14.608899066764721</v>
      </c>
      <c r="AH315" s="304">
        <f t="shared" ca="1" si="144"/>
        <v>24.354299837635697</v>
      </c>
    </row>
    <row r="316" spans="1:34" x14ac:dyDescent="0.2">
      <c r="A316" s="347">
        <f t="shared" ca="1" si="122"/>
        <v>0.01</v>
      </c>
      <c r="B316" s="304">
        <f t="shared" ca="1" si="123"/>
        <v>3.1199999999999775</v>
      </c>
      <c r="D316" s="306">
        <f t="shared" ca="1" si="124"/>
        <v>2.6625208954823356</v>
      </c>
      <c r="E316" s="307">
        <f t="shared" ca="1" si="125"/>
        <v>13.264281207079152</v>
      </c>
      <c r="F316" s="304">
        <f t="shared" ca="1" si="126"/>
        <v>13.528864455650121</v>
      </c>
      <c r="G316" s="306">
        <f t="shared" ca="1" si="127"/>
        <v>22.621585423571734</v>
      </c>
      <c r="H316" s="307">
        <f t="shared" ca="1" si="128"/>
        <v>195.94799462375593</v>
      </c>
      <c r="I316" s="304">
        <f t="shared" ca="1" si="129"/>
        <v>197.2494682480727</v>
      </c>
      <c r="J316" s="306">
        <f t="shared" ca="1" si="130"/>
        <v>38.633950743346837</v>
      </c>
      <c r="K316" s="307">
        <f t="shared" ca="1" si="131"/>
        <v>358.63292569000038</v>
      </c>
      <c r="L316" s="304">
        <f t="shared" ca="1" si="116"/>
        <v>360.70785622025016</v>
      </c>
      <c r="M316" s="306">
        <f t="shared" ca="1" si="132"/>
        <v>1.4558582712344792</v>
      </c>
      <c r="N316" s="304">
        <f t="shared" ca="1" si="133"/>
        <v>83.414534510947917</v>
      </c>
      <c r="P316" s="310">
        <f t="shared" ca="1" si="134"/>
        <v>8</v>
      </c>
      <c r="Q316" s="304">
        <f t="shared" ca="1" si="135"/>
        <v>295.95652173914931</v>
      </c>
      <c r="R316" s="306">
        <f t="shared" ca="1" si="136"/>
        <v>0.14852678913729855</v>
      </c>
      <c r="S316" s="307">
        <f t="shared" ca="1" si="137"/>
        <v>7.5141744765961889</v>
      </c>
      <c r="T316" s="304">
        <f t="shared" ca="1" si="117"/>
        <v>73.714051615408621</v>
      </c>
      <c r="U316" s="311">
        <f t="shared" ca="1" si="118"/>
        <v>0</v>
      </c>
      <c r="V316" s="306">
        <f t="shared" ca="1" si="119"/>
        <v>1.1818413718569605</v>
      </c>
      <c r="W316" s="304">
        <f t="shared" ca="1" si="120"/>
        <v>121.56422191637589</v>
      </c>
      <c r="Y316" s="314" t="str">
        <f t="shared" ca="1" si="138"/>
        <v/>
      </c>
      <c r="Z316" s="315" t="str">
        <f t="shared" ca="1" si="139"/>
        <v/>
      </c>
      <c r="AA316" s="316" t="str">
        <f t="shared" ca="1" si="140"/>
        <v/>
      </c>
      <c r="AC316" s="310" t="e">
        <f t="shared" ca="1" si="141"/>
        <v>#N/A</v>
      </c>
      <c r="AD316" s="323" t="e">
        <f t="shared" ca="1" si="142"/>
        <v>#N/A</v>
      </c>
      <c r="AE316" s="324">
        <f t="shared" ca="1" si="121"/>
        <v>358.63292569000038</v>
      </c>
      <c r="AG316" s="306">
        <f t="shared" ca="1" si="143"/>
        <v>13.482049555522623</v>
      </c>
      <c r="AH316" s="304">
        <f t="shared" ca="1" si="144"/>
        <v>23.227386222781206</v>
      </c>
    </row>
    <row r="317" spans="1:34" x14ac:dyDescent="0.2">
      <c r="A317" s="347">
        <f t="shared" ca="1" si="122"/>
        <v>0.01</v>
      </c>
      <c r="B317" s="304">
        <f t="shared" ca="1" si="123"/>
        <v>3.1299999999999772</v>
      </c>
      <c r="D317" s="306">
        <f t="shared" ca="1" si="124"/>
        <v>2.534742106038621</v>
      </c>
      <c r="E317" s="307">
        <f t="shared" ca="1" si="125"/>
        <v>12.145916142337411</v>
      </c>
      <c r="F317" s="304">
        <f t="shared" ca="1" si="126"/>
        <v>12.407586247164176</v>
      </c>
      <c r="G317" s="306">
        <f t="shared" ca="1" si="127"/>
        <v>22.646932844632119</v>
      </c>
      <c r="H317" s="307">
        <f t="shared" ca="1" si="128"/>
        <v>196.06945378517932</v>
      </c>
      <c r="I317" s="304">
        <f t="shared" ca="1" si="129"/>
        <v>197.37303330214047</v>
      </c>
      <c r="J317" s="306">
        <f t="shared" ca="1" si="130"/>
        <v>38.860293334687853</v>
      </c>
      <c r="K317" s="307">
        <f t="shared" ca="1" si="131"/>
        <v>360.59301293204504</v>
      </c>
      <c r="L317" s="304">
        <f t="shared" ca="1" si="116"/>
        <v>362.68091123392202</v>
      </c>
      <c r="M317" s="306">
        <f t="shared" ca="1" si="132"/>
        <v>1.4558012694581148</v>
      </c>
      <c r="N317" s="304">
        <f t="shared" ca="1" si="133"/>
        <v>83.4112685497375</v>
      </c>
      <c r="P317" s="310">
        <f t="shared" ca="1" si="134"/>
        <v>8</v>
      </c>
      <c r="Q317" s="304">
        <f t="shared" ca="1" si="135"/>
        <v>287.60869565219298</v>
      </c>
      <c r="R317" s="306">
        <f t="shared" ca="1" si="136"/>
        <v>0.14433740416383611</v>
      </c>
      <c r="S317" s="307">
        <f t="shared" ca="1" si="137"/>
        <v>7.5127311025545502</v>
      </c>
      <c r="T317" s="304">
        <f t="shared" ca="1" si="117"/>
        <v>73.699892116060141</v>
      </c>
      <c r="U317" s="311">
        <f t="shared" ca="1" si="118"/>
        <v>0</v>
      </c>
      <c r="V317" s="306">
        <f t="shared" ca="1" si="119"/>
        <v>1.1816096684353752</v>
      </c>
      <c r="W317" s="304">
        <f t="shared" ca="1" si="120"/>
        <v>121.69271223683862</v>
      </c>
      <c r="Y317" s="314" t="str">
        <f t="shared" ca="1" si="138"/>
        <v/>
      </c>
      <c r="Z317" s="315" t="str">
        <f t="shared" ca="1" si="139"/>
        <v/>
      </c>
      <c r="AA317" s="316" t="str">
        <f t="shared" ca="1" si="140"/>
        <v/>
      </c>
      <c r="AC317" s="310" t="e">
        <f t="shared" ca="1" si="141"/>
        <v>#N/A</v>
      </c>
      <c r="AD317" s="323" t="e">
        <f t="shared" ca="1" si="142"/>
        <v>#N/A</v>
      </c>
      <c r="AE317" s="324">
        <f t="shared" ca="1" si="121"/>
        <v>360.59301293204504</v>
      </c>
      <c r="AG317" s="306">
        <f t="shared" ca="1" si="143"/>
        <v>12.356473341527568</v>
      </c>
      <c r="AH317" s="304">
        <f t="shared" ca="1" si="144"/>
        <v>22.101745885641652</v>
      </c>
    </row>
    <row r="318" spans="1:34" x14ac:dyDescent="0.2">
      <c r="A318" s="347">
        <f t="shared" ca="1" si="122"/>
        <v>0.01</v>
      </c>
      <c r="B318" s="304">
        <f t="shared" ca="1" si="123"/>
        <v>3.139999999999977</v>
      </c>
      <c r="D318" s="306">
        <f t="shared" ca="1" si="124"/>
        <v>2.4069840489393957</v>
      </c>
      <c r="E318" s="307">
        <f t="shared" ca="1" si="125"/>
        <v>11.028850496130064</v>
      </c>
      <c r="F318" s="304">
        <f t="shared" ca="1" si="126"/>
        <v>11.288450534853622</v>
      </c>
      <c r="G318" s="306">
        <f t="shared" ca="1" si="127"/>
        <v>22.671002685121511</v>
      </c>
      <c r="H318" s="307">
        <f t="shared" ca="1" si="128"/>
        <v>196.17974229014061</v>
      </c>
      <c r="I318" s="304">
        <f t="shared" ca="1" si="129"/>
        <v>197.48535552737769</v>
      </c>
      <c r="J318" s="306">
        <f t="shared" ca="1" si="130"/>
        <v>39.086883012336621</v>
      </c>
      <c r="K318" s="307">
        <f t="shared" ca="1" si="131"/>
        <v>362.55425891242163</v>
      </c>
      <c r="L318" s="304">
        <f t="shared" ca="1" si="116"/>
        <v>364.6551454170849</v>
      </c>
      <c r="M318" s="306">
        <f t="shared" ca="1" si="132"/>
        <v>1.4557442719737457</v>
      </c>
      <c r="N318" s="304">
        <f t="shared" ca="1" si="133"/>
        <v>83.408002834440282</v>
      </c>
      <c r="P318" s="310">
        <f t="shared" ca="1" si="134"/>
        <v>8</v>
      </c>
      <c r="Q318" s="304">
        <f t="shared" ca="1" si="135"/>
        <v>279.26086956523659</v>
      </c>
      <c r="R318" s="306">
        <f t="shared" ca="1" si="136"/>
        <v>0.14014801919037362</v>
      </c>
      <c r="S318" s="307">
        <f t="shared" ca="1" si="137"/>
        <v>7.5113296223626467</v>
      </c>
      <c r="T318" s="304">
        <f t="shared" ca="1" si="117"/>
        <v>73.686143595377573</v>
      </c>
      <c r="U318" s="311">
        <f t="shared" ca="1" si="118"/>
        <v>0</v>
      </c>
      <c r="V318" s="306">
        <f t="shared" ca="1" si="119"/>
        <v>1.1813778726852671</v>
      </c>
      <c r="W318" s="304">
        <f t="shared" ca="1" si="120"/>
        <v>121.80735930558413</v>
      </c>
      <c r="Y318" s="314" t="str">
        <f t="shared" ca="1" si="138"/>
        <v/>
      </c>
      <c r="Z318" s="315" t="str">
        <f t="shared" ca="1" si="139"/>
        <v/>
      </c>
      <c r="AA318" s="316" t="str">
        <f t="shared" ca="1" si="140"/>
        <v/>
      </c>
      <c r="AC318" s="310" t="e">
        <f t="shared" ca="1" si="141"/>
        <v>#N/A</v>
      </c>
      <c r="AD318" s="323" t="e">
        <f t="shared" ca="1" si="142"/>
        <v>#N/A</v>
      </c>
      <c r="AE318" s="324">
        <f t="shared" ca="1" si="121"/>
        <v>362.55425891242163</v>
      </c>
      <c r="AG318" s="306">
        <f t="shared" ca="1" si="143"/>
        <v>11.23219044506124</v>
      </c>
      <c r="AH318" s="304">
        <f t="shared" ca="1" si="144"/>
        <v>20.97739884284772</v>
      </c>
    </row>
    <row r="319" spans="1:34" x14ac:dyDescent="0.2">
      <c r="A319" s="347">
        <f t="shared" ca="1" si="122"/>
        <v>0.01</v>
      </c>
      <c r="B319" s="304">
        <f t="shared" ca="1" si="123"/>
        <v>3.1499999999999768</v>
      </c>
      <c r="D319" s="306">
        <f t="shared" ca="1" si="124"/>
        <v>2.2792492881361985</v>
      </c>
      <c r="E319" s="307">
        <f t="shared" ca="1" si="125"/>
        <v>9.9131037449876711</v>
      </c>
      <c r="F319" s="304">
        <f t="shared" ca="1" si="126"/>
        <v>10.171755166949211</v>
      </c>
      <c r="G319" s="306">
        <f t="shared" ca="1" si="127"/>
        <v>22.693795178002873</v>
      </c>
      <c r="H319" s="307">
        <f t="shared" ca="1" si="128"/>
        <v>196.27887332759047</v>
      </c>
      <c r="I319" s="304">
        <f t="shared" ca="1" si="129"/>
        <v>197.5864480533254</v>
      </c>
      <c r="J319" s="306">
        <f t="shared" ca="1" si="130"/>
        <v>39.31370700165224</v>
      </c>
      <c r="K319" s="307">
        <f t="shared" ca="1" si="131"/>
        <v>364.51655199051027</v>
      </c>
      <c r="L319" s="304">
        <f t="shared" ca="1" si="116"/>
        <v>366.63044640790832</v>
      </c>
      <c r="M319" s="306">
        <f t="shared" ca="1" si="132"/>
        <v>1.4556872755396222</v>
      </c>
      <c r="N319" s="304">
        <f t="shared" ca="1" si="133"/>
        <v>83.404737179317706</v>
      </c>
      <c r="P319" s="310">
        <f t="shared" ca="1" si="134"/>
        <v>8</v>
      </c>
      <c r="Q319" s="304">
        <f t="shared" ca="1" si="135"/>
        <v>270.91304347828031</v>
      </c>
      <c r="R319" s="306">
        <f t="shared" ca="1" si="136"/>
        <v>0.13595863421691121</v>
      </c>
      <c r="S319" s="307">
        <f t="shared" ca="1" si="137"/>
        <v>7.5099700360204773</v>
      </c>
      <c r="T319" s="304">
        <f t="shared" ca="1" si="117"/>
        <v>73.672806053360887</v>
      </c>
      <c r="U319" s="311">
        <f t="shared" ca="1" si="118"/>
        <v>0</v>
      </c>
      <c r="V319" s="306">
        <f t="shared" ca="1" si="119"/>
        <v>1.1811459978636492</v>
      </c>
      <c r="W319" s="304">
        <f t="shared" ca="1" si="120"/>
        <v>121.90816510781588</v>
      </c>
      <c r="Y319" s="314" t="str">
        <f t="shared" ca="1" si="138"/>
        <v/>
      </c>
      <c r="Z319" s="315" t="str">
        <f t="shared" ca="1" si="139"/>
        <v/>
      </c>
      <c r="AA319" s="316" t="str">
        <f t="shared" ca="1" si="140"/>
        <v/>
      </c>
      <c r="AC319" s="310" t="e">
        <f t="shared" ca="1" si="141"/>
        <v>#N/A</v>
      </c>
      <c r="AD319" s="323" t="e">
        <f t="shared" ca="1" si="142"/>
        <v>#N/A</v>
      </c>
      <c r="AE319" s="324">
        <f t="shared" ca="1" si="121"/>
        <v>364.51655199051027</v>
      </c>
      <c r="AG319" s="306">
        <f t="shared" ca="1" si="143"/>
        <v>10.109220500867666</v>
      </c>
      <c r="AH319" s="304">
        <f t="shared" ca="1" si="144"/>
        <v>19.854364725495905</v>
      </c>
    </row>
    <row r="320" spans="1:34" x14ac:dyDescent="0.2">
      <c r="A320" s="347">
        <f t="shared" ca="1" si="122"/>
        <v>0.01</v>
      </c>
      <c r="B320" s="304">
        <f t="shared" ca="1" si="123"/>
        <v>3.1599999999999766</v>
      </c>
      <c r="D320" s="306">
        <f t="shared" ca="1" si="124"/>
        <v>2.1515403331356331</v>
      </c>
      <c r="E320" s="307">
        <f t="shared" ca="1" si="125"/>
        <v>8.7986949844364695</v>
      </c>
      <c r="F320" s="304">
        <f t="shared" ca="1" si="126"/>
        <v>9.0579334968996577</v>
      </c>
      <c r="G320" s="306">
        <f t="shared" ca="1" si="127"/>
        <v>22.715310581334229</v>
      </c>
      <c r="H320" s="307">
        <f t="shared" ca="1" si="128"/>
        <v>196.36686027743485</v>
      </c>
      <c r="I320" s="304">
        <f t="shared" ca="1" si="129"/>
        <v>197.676324202025</v>
      </c>
      <c r="J320" s="306">
        <f t="shared" ca="1" si="130"/>
        <v>39.540752530448927</v>
      </c>
      <c r="K320" s="307">
        <f t="shared" ca="1" si="131"/>
        <v>366.47978065853539</v>
      </c>
      <c r="L320" s="304">
        <f t="shared" ca="1" si="116"/>
        <v>368.60670197678502</v>
      </c>
      <c r="M320" s="306">
        <f t="shared" ca="1" si="132"/>
        <v>1.4556302769213907</v>
      </c>
      <c r="N320" s="304">
        <f t="shared" ca="1" si="133"/>
        <v>83.401471399054969</v>
      </c>
      <c r="P320" s="310">
        <f t="shared" ca="1" si="134"/>
        <v>8</v>
      </c>
      <c r="Q320" s="304">
        <f t="shared" ca="1" si="135"/>
        <v>262.56521739132393</v>
      </c>
      <c r="R320" s="306">
        <f t="shared" ca="1" si="136"/>
        <v>0.13176924924344874</v>
      </c>
      <c r="S320" s="307">
        <f t="shared" ca="1" si="137"/>
        <v>7.508652343528043</v>
      </c>
      <c r="T320" s="304">
        <f t="shared" ca="1" si="117"/>
        <v>73.659879490010113</v>
      </c>
      <c r="U320" s="311">
        <f t="shared" ca="1" si="118"/>
        <v>0</v>
      </c>
      <c r="V320" s="306">
        <f t="shared" ca="1" si="119"/>
        <v>1.1809140572016725</v>
      </c>
      <c r="W320" s="304">
        <f t="shared" ca="1" si="120"/>
        <v>121.99513427818046</v>
      </c>
      <c r="Y320" s="314" t="str">
        <f t="shared" ca="1" si="138"/>
        <v/>
      </c>
      <c r="Z320" s="315" t="str">
        <f t="shared" ca="1" si="139"/>
        <v/>
      </c>
      <c r="AA320" s="316" t="str">
        <f t="shared" ca="1" si="140"/>
        <v/>
      </c>
      <c r="AC320" s="310" t="e">
        <f t="shared" ca="1" si="141"/>
        <v>#N/A</v>
      </c>
      <c r="AD320" s="323" t="e">
        <f t="shared" ca="1" si="142"/>
        <v>#N/A</v>
      </c>
      <c r="AE320" s="324">
        <f t="shared" ca="1" si="121"/>
        <v>366.47978065853539</v>
      </c>
      <c r="AG320" s="306">
        <f t="shared" ca="1" si="143"/>
        <v>8.9875827589979096</v>
      </c>
      <c r="AH320" s="304">
        <f t="shared" ca="1" si="144"/>
        <v>18.732662779992076</v>
      </c>
    </row>
    <row r="321" spans="1:34" x14ac:dyDescent="0.2">
      <c r="A321" s="347">
        <f t="shared" ca="1" si="122"/>
        <v>0.01</v>
      </c>
      <c r="B321" s="304">
        <f t="shared" ca="1" si="123"/>
        <v>3.1699999999999764</v>
      </c>
      <c r="D321" s="306">
        <f t="shared" ca="1" si="124"/>
        <v>2.0238596391023926</v>
      </c>
      <c r="E321" s="307">
        <f t="shared" ca="1" si="125"/>
        <v>7.6856429298980675</v>
      </c>
      <c r="F321" s="304">
        <f t="shared" ca="1" si="126"/>
        <v>7.9476483996638789</v>
      </c>
      <c r="G321" s="306">
        <f t="shared" ca="1" si="127"/>
        <v>22.735549177725254</v>
      </c>
      <c r="H321" s="307">
        <f t="shared" ca="1" si="128"/>
        <v>196.44371670673382</v>
      </c>
      <c r="I321" s="304">
        <f t="shared" ca="1" si="129"/>
        <v>197.75499748418054</v>
      </c>
      <c r="J321" s="306">
        <f t="shared" ca="1" si="130"/>
        <v>39.768006829244221</v>
      </c>
      <c r="K321" s="307">
        <f t="shared" ca="1" si="131"/>
        <v>368.44383354345621</v>
      </c>
      <c r="L321" s="304">
        <f t="shared" ca="1" si="116"/>
        <v>370.5838000282377</v>
      </c>
      <c r="M321" s="306">
        <f t="shared" ca="1" si="132"/>
        <v>1.4555732728910369</v>
      </c>
      <c r="N321" s="304">
        <f t="shared" ca="1" si="133"/>
        <v>83.398205308700454</v>
      </c>
      <c r="P321" s="310">
        <f t="shared" ca="1" si="134"/>
        <v>8</v>
      </c>
      <c r="Q321" s="304">
        <f t="shared" ca="1" si="135"/>
        <v>254.2173913043676</v>
      </c>
      <c r="R321" s="306">
        <f t="shared" ca="1" si="136"/>
        <v>0.1275798642699863</v>
      </c>
      <c r="S321" s="307">
        <f t="shared" ca="1" si="137"/>
        <v>7.5073765448853429</v>
      </c>
      <c r="T321" s="304">
        <f t="shared" ca="1" si="117"/>
        <v>73.647363905325221</v>
      </c>
      <c r="U321" s="311">
        <f t="shared" ca="1" si="118"/>
        <v>0</v>
      </c>
      <c r="V321" s="306">
        <f t="shared" ca="1" si="119"/>
        <v>1.180682063904416</v>
      </c>
      <c r="W321" s="304">
        <f t="shared" ca="1" si="120"/>
        <v>122.06827408314074</v>
      </c>
      <c r="Y321" s="314" t="str">
        <f t="shared" ca="1" si="138"/>
        <v/>
      </c>
      <c r="Z321" s="315" t="str">
        <f t="shared" ca="1" si="139"/>
        <v/>
      </c>
      <c r="AA321" s="316" t="str">
        <f t="shared" ca="1" si="140"/>
        <v/>
      </c>
      <c r="AC321" s="310" t="e">
        <f t="shared" ca="1" si="141"/>
        <v>#N/A</v>
      </c>
      <c r="AD321" s="323" t="e">
        <f t="shared" ca="1" si="142"/>
        <v>#N/A</v>
      </c>
      <c r="AE321" s="324">
        <f t="shared" ca="1" si="121"/>
        <v>368.44383354345621</v>
      </c>
      <c r="AG321" s="306">
        <f t="shared" ca="1" si="143"/>
        <v>7.8672960857133099</v>
      </c>
      <c r="AH321" s="304">
        <f t="shared" ca="1" si="144"/>
        <v>17.612311868953487</v>
      </c>
    </row>
    <row r="322" spans="1:34" x14ac:dyDescent="0.2">
      <c r="A322" s="347">
        <f t="shared" ca="1" si="122"/>
        <v>0.01</v>
      </c>
      <c r="B322" s="304">
        <f t="shared" ca="1" si="123"/>
        <v>3.1799999999999762</v>
      </c>
      <c r="D322" s="306">
        <f t="shared" ca="1" si="124"/>
        <v>1.8962096069629422</v>
      </c>
      <c r="E322" s="307">
        <f t="shared" ca="1" si="125"/>
        <v>6.5739659176460226</v>
      </c>
      <c r="F322" s="304">
        <f t="shared" ca="1" si="126"/>
        <v>6.8419762320480233</v>
      </c>
      <c r="G322" s="306">
        <f t="shared" ca="1" si="127"/>
        <v>22.754511273794883</v>
      </c>
      <c r="H322" s="307">
        <f t="shared" ca="1" si="128"/>
        <v>196.5094563659103</v>
      </c>
      <c r="I322" s="304">
        <f t="shared" ca="1" si="129"/>
        <v>197.82248159533046</v>
      </c>
      <c r="J322" s="306">
        <f t="shared" ca="1" si="130"/>
        <v>39.995457131501823</v>
      </c>
      <c r="K322" s="307">
        <f t="shared" ca="1" si="131"/>
        <v>370.40859940881944</v>
      </c>
      <c r="L322" s="304">
        <f t="shared" ca="1" si="116"/>
        <v>372.5616286027871</v>
      </c>
      <c r="M322" s="306">
        <f t="shared" ca="1" si="132"/>
        <v>1.4555162602258345</v>
      </c>
      <c r="N322" s="304">
        <f t="shared" ca="1" si="133"/>
        <v>83.394938723605563</v>
      </c>
      <c r="P322" s="310">
        <f t="shared" ca="1" si="134"/>
        <v>8</v>
      </c>
      <c r="Q322" s="304">
        <f t="shared" ca="1" si="135"/>
        <v>245.86956521741126</v>
      </c>
      <c r="R322" s="306">
        <f t="shared" ca="1" si="136"/>
        <v>0.12339047929652386</v>
      </c>
      <c r="S322" s="307">
        <f t="shared" ca="1" si="137"/>
        <v>7.5061426400923779</v>
      </c>
      <c r="T322" s="304">
        <f t="shared" ca="1" si="117"/>
        <v>73.635259299306227</v>
      </c>
      <c r="U322" s="311">
        <f t="shared" ca="1" si="118"/>
        <v>0</v>
      </c>
      <c r="V322" s="306">
        <f t="shared" ca="1" si="119"/>
        <v>1.1804500311506789</v>
      </c>
      <c r="W322" s="304">
        <f t="shared" ca="1" si="120"/>
        <v>122.12759440317767</v>
      </c>
      <c r="Y322" s="314" t="str">
        <f t="shared" ca="1" si="138"/>
        <v/>
      </c>
      <c r="Z322" s="315" t="str">
        <f t="shared" ca="1" si="139"/>
        <v/>
      </c>
      <c r="AA322" s="316" t="str">
        <f t="shared" ca="1" si="140"/>
        <v/>
      </c>
      <c r="AC322" s="310" t="e">
        <f t="shared" ca="1" si="141"/>
        <v>#N/A</v>
      </c>
      <c r="AD322" s="323" t="e">
        <f t="shared" ca="1" si="142"/>
        <v>#N/A</v>
      </c>
      <c r="AE322" s="324">
        <f t="shared" ca="1" si="121"/>
        <v>370.40859940881944</v>
      </c>
      <c r="AG322" s="306">
        <f t="shared" ca="1" si="143"/>
        <v>6.7483789644452106</v>
      </c>
      <c r="AH322" s="304">
        <f t="shared" ca="1" si="144"/>
        <v>16.493330472167379</v>
      </c>
    </row>
    <row r="323" spans="1:34" x14ac:dyDescent="0.2">
      <c r="A323" s="347">
        <f t="shared" ca="1" si="122"/>
        <v>0.01</v>
      </c>
      <c r="B323" s="304">
        <f t="shared" ca="1" si="123"/>
        <v>3.189999999999976</v>
      </c>
      <c r="D323" s="306">
        <f t="shared" ca="1" si="124"/>
        <v>1.7685925835098901</v>
      </c>
      <c r="E323" s="307">
        <f t="shared" ca="1" si="125"/>
        <v>5.4636819058187314</v>
      </c>
      <c r="F323" s="304">
        <f t="shared" ca="1" si="126"/>
        <v>5.7427989425381414</v>
      </c>
      <c r="G323" s="306">
        <f t="shared" ca="1" si="127"/>
        <v>22.772197199629982</v>
      </c>
      <c r="H323" s="307">
        <f t="shared" ca="1" si="128"/>
        <v>196.56409318496847</v>
      </c>
      <c r="I323" s="304">
        <f t="shared" ca="1" si="129"/>
        <v>197.87879041202925</v>
      </c>
      <c r="J323" s="306">
        <f t="shared" ca="1" si="130"/>
        <v>40.223090673868946</v>
      </c>
      <c r="K323" s="307">
        <f t="shared" ca="1" si="131"/>
        <v>372.37396715657383</v>
      </c>
      <c r="L323" s="304">
        <f t="shared" ca="1" si="116"/>
        <v>374.54007587878152</v>
      </c>
      <c r="M323" s="306">
        <f t="shared" ca="1" si="132"/>
        <v>1.4554592357073026</v>
      </c>
      <c r="N323" s="304">
        <f t="shared" ca="1" si="133"/>
        <v>83.391671459364929</v>
      </c>
      <c r="P323" s="310">
        <f t="shared" ca="1" si="134"/>
        <v>8</v>
      </c>
      <c r="Q323" s="304">
        <f t="shared" ca="1" si="135"/>
        <v>237.5217391304549</v>
      </c>
      <c r="R323" s="306">
        <f t="shared" ca="1" si="136"/>
        <v>0.1192010943230614</v>
      </c>
      <c r="S323" s="307">
        <f t="shared" ca="1" si="137"/>
        <v>7.504950629149147</v>
      </c>
      <c r="T323" s="304">
        <f t="shared" ca="1" si="117"/>
        <v>73.623565671953131</v>
      </c>
      <c r="U323" s="311">
        <f t="shared" ca="1" si="118"/>
        <v>0</v>
      </c>
      <c r="V323" s="306">
        <f t="shared" ca="1" si="119"/>
        <v>1.1802179720927761</v>
      </c>
      <c r="W323" s="304">
        <f t="shared" ca="1" si="120"/>
        <v>122.17310771482876</v>
      </c>
      <c r="Y323" s="314" t="str">
        <f t="shared" ca="1" si="138"/>
        <v/>
      </c>
      <c r="Z323" s="315" t="str">
        <f t="shared" ca="1" si="139"/>
        <v/>
      </c>
      <c r="AA323" s="316" t="str">
        <f t="shared" ca="1" si="140"/>
        <v/>
      </c>
      <c r="AC323" s="310" t="e">
        <f t="shared" ca="1" si="141"/>
        <v>#N/A</v>
      </c>
      <c r="AD323" s="323" t="e">
        <f t="shared" ca="1" si="142"/>
        <v>#N/A</v>
      </c>
      <c r="AE323" s="324">
        <f t="shared" ca="1" si="121"/>
        <v>372.37396715657383</v>
      </c>
      <c r="AG323" s="306">
        <f t="shared" ca="1" si="143"/>
        <v>5.6308494968107734</v>
      </c>
      <c r="AH323" s="304">
        <f t="shared" ca="1" si="144"/>
        <v>15.375736687605595</v>
      </c>
    </row>
    <row r="324" spans="1:34" x14ac:dyDescent="0.2">
      <c r="A324" s="347">
        <f t="shared" ca="1" si="122"/>
        <v>0.01</v>
      </c>
      <c r="B324" s="304">
        <f t="shared" ca="1" si="123"/>
        <v>3.1999999999999758</v>
      </c>
      <c r="D324" s="306">
        <f t="shared" ca="1" si="124"/>
        <v>1.6410108615068901</v>
      </c>
      <c r="E324" s="307">
        <f t="shared" ca="1" si="125"/>
        <v>4.3548084754872587</v>
      </c>
      <c r="F324" s="304">
        <f t="shared" ca="1" si="126"/>
        <v>4.6537375845398987</v>
      </c>
      <c r="G324" s="306">
        <f t="shared" ca="1" si="127"/>
        <v>22.788607308245052</v>
      </c>
      <c r="H324" s="307">
        <f t="shared" ca="1" si="128"/>
        <v>196.60764126972333</v>
      </c>
      <c r="I324" s="304">
        <f t="shared" ca="1" si="129"/>
        <v>197.92393798804028</v>
      </c>
      <c r="J324" s="306">
        <f t="shared" ca="1" si="130"/>
        <v>40.450894696408319</v>
      </c>
      <c r="K324" s="307">
        <f t="shared" ca="1" si="131"/>
        <v>374.33982582884727</v>
      </c>
      <c r="L324" s="304">
        <f t="shared" ref="L324:L387" ca="1" si="145">SQRT(pos_x^2+pos_z^2)</f>
        <v>376.51903017418869</v>
      </c>
      <c r="M324" s="306">
        <f t="shared" ca="1" si="132"/>
        <v>1.4554021961201644</v>
      </c>
      <c r="N324" s="304">
        <f t="shared" ca="1" si="133"/>
        <v>83.388403331756734</v>
      </c>
      <c r="P324" s="310">
        <f t="shared" ca="1" si="134"/>
        <v>8</v>
      </c>
      <c r="Q324" s="304">
        <f t="shared" ca="1" si="135"/>
        <v>229.17391304349857</v>
      </c>
      <c r="R324" s="306">
        <f t="shared" ca="1" si="136"/>
        <v>0.11501170934959895</v>
      </c>
      <c r="S324" s="307">
        <f t="shared" ca="1" si="137"/>
        <v>7.5038005120556512</v>
      </c>
      <c r="T324" s="304">
        <f t="shared" ref="T324:T387" ca="1" si="146">m*g</f>
        <v>73.612283023265945</v>
      </c>
      <c r="U324" s="311">
        <f t="shared" ref="U324:U387" ca="1" si="147">IF(pos_xz&lt;L_rampe,Poids*COS(Beta),0)</f>
        <v>0</v>
      </c>
      <c r="V324" s="306">
        <f t="shared" ref="V324:V387" ca="1" si="148">Rho_moyen*(20000-Alt_rampe-pos_z)/(20000+Alt_rampe+pos_z)</f>
        <v>1.1799858998563471</v>
      </c>
      <c r="W324" s="304">
        <f t="shared" ref="W324:W387" ca="1" si="149">1/2*Rho*Sref*Cx*vit_xz^2</f>
        <v>122.20482907257372</v>
      </c>
      <c r="Y324" s="314" t="str">
        <f t="shared" ca="1" si="138"/>
        <v/>
      </c>
      <c r="Z324" s="315" t="str">
        <f t="shared" ca="1" si="139"/>
        <v/>
      </c>
      <c r="AA324" s="316" t="str">
        <f t="shared" ca="1" si="140"/>
        <v/>
      </c>
      <c r="AC324" s="310" t="e">
        <f t="shared" ca="1" si="141"/>
        <v>#N/A</v>
      </c>
      <c r="AD324" s="323" t="e">
        <f t="shared" ca="1" si="142"/>
        <v>#N/A</v>
      </c>
      <c r="AE324" s="324">
        <f t="shared" ref="AE324:AE387" ca="1" si="150">IF(t&lt;T_para, pos_z, NA())</f>
        <v>374.33982582884727</v>
      </c>
      <c r="AG324" s="306">
        <f t="shared" ca="1" si="143"/>
        <v>4.5147254036834283</v>
      </c>
      <c r="AH324" s="304">
        <f t="shared" ca="1" si="144"/>
        <v>14.259548232493877</v>
      </c>
    </row>
    <row r="325" spans="1:34" x14ac:dyDescent="0.2">
      <c r="A325" s="347">
        <f t="shared" ref="A325:A388" ca="1" si="151">IF(B324+0.01&lt;=T_ini+ROUNDUP(Temps_fin_propu,0), 0.01, IF(K324&gt;0, 0.1, 0.0001))</f>
        <v>0.01</v>
      </c>
      <c r="B325" s="304">
        <f t="shared" ref="B325:B388" ca="1" si="152">B324+pas</f>
        <v>3.2099999999999755</v>
      </c>
      <c r="D325" s="306">
        <f t="shared" ref="D325:D388" ca="1" si="153">IF(AND(L324&lt;L_rampe,Poussee&lt;Poids*SIN(M324)),0,(-W324+Poussee)/m*COS(M324)-U324/m*SIN(M324))</f>
        <v>1.5326198840341336</v>
      </c>
      <c r="E325" s="307">
        <f t="shared" ref="E325:E388" ca="1" si="154">IF(AND(L324&lt;L_rampe,Poussee&lt;Poids*SIN(M324)),0,(-W324+Poussee)/m*SIN(M324)+U324/m*COS(M324)-Poids/m)</f>
        <v>3.4126062034956792</v>
      </c>
      <c r="F325" s="304">
        <f t="shared" ref="F325:F388" ca="1" si="155">SQRT(acc_x^2+acc_z^2)</f>
        <v>3.740963085767353</v>
      </c>
      <c r="G325" s="306">
        <f t="shared" ref="G325:G388" ca="1" si="156">G324+acc_x*pas</f>
        <v>22.803933507085393</v>
      </c>
      <c r="H325" s="307">
        <f t="shared" ref="H325:H388" ca="1" si="157">H324+acc_z*pas</f>
        <v>196.64176733175827</v>
      </c>
      <c r="I325" s="304">
        <f t="shared" ref="I325:I388" ca="1" si="158">SQRT(vit_x^2+vit_z^2)</f>
        <v>197.95960204736957</v>
      </c>
      <c r="J325" s="306">
        <f t="shared" ref="J325:J388" ca="1" si="159">J324+0.5*(vit_x+G324)*pas*(K324&gt;=0)</f>
        <v>40.678857400484972</v>
      </c>
      <c r="K325" s="307">
        <f t="shared" ref="K325:K388" ca="1" si="160">K324+0.5*(vit_z+H324)*pas</f>
        <v>376.30607287185467</v>
      </c>
      <c r="L325" s="304">
        <f t="shared" ca="1" si="145"/>
        <v>378.49838826558641</v>
      </c>
      <c r="M325" s="306">
        <f t="shared" ref="M325:M388" ca="1" si="161">IF(AND(L324&gt;L_rampe,G325&gt;0),ATAN2(G325,H325),$M$4)</f>
        <v>1.4553451387307823</v>
      </c>
      <c r="N325" s="304">
        <f t="shared" ref="N325:N388" ca="1" si="162">DEGREES(Beta)</f>
        <v>83.385134184155106</v>
      </c>
      <c r="P325" s="310">
        <f t="shared" ref="P325:P388" ca="1" si="163">MATCH(t-pas/2-T_ini,CdP_t)</f>
        <v>9</v>
      </c>
      <c r="Q325" s="304">
        <f t="shared" ref="Q325:Q388" ca="1" si="164">(INDEX(CdP,2,i_P+1)-INDEX(CdP,2,i_P+0))/(INDEX(CdP,1,i_P+1)-INDEX(CdP,1,i_P+0))*(t-pas/2-T_ini-INDEX(CdP,1,i_P+0))+INDEX(CdP,2,i_P+0)</f>
        <v>222.07407407408843</v>
      </c>
      <c r="R325" s="306">
        <f t="shared" ref="R325:R388" ca="1" si="165">Poussee/(g*ISP)</f>
        <v>0.11144863096456581</v>
      </c>
      <c r="S325" s="307">
        <f t="shared" ref="S325:S388" ca="1" si="166">S324-Débit*pas</f>
        <v>7.502686025746006</v>
      </c>
      <c r="T325" s="304">
        <f t="shared" ca="1" si="146"/>
        <v>73.601349912568324</v>
      </c>
      <c r="U325" s="311">
        <f t="shared" ca="1" si="147"/>
        <v>0</v>
      </c>
      <c r="V325" s="306">
        <f t="shared" ca="1" si="148"/>
        <v>1.1797538265650864</v>
      </c>
      <c r="W325" s="304">
        <f t="shared" ca="1" si="149"/>
        <v>122.22483014364562</v>
      </c>
      <c r="Y325" s="314" t="str">
        <f t="shared" ref="Y325:Y388" ca="1" si="167">IF(AND(pos_z&lt;=0,K324&gt;0),"Impact balistique","") &amp; IF(AND(H326&lt;0,vit_z&gt;=0),"Apogée","") &amp; IF(AND(Poussee=0,Q324&gt;0),"Fin de propulsion","") &amp; IF(AND(L326&gt;L_rampe,pos_xz&lt;=L_rampe),"Sortie de rampe","")</f>
        <v/>
      </c>
      <c r="Z325" s="315" t="str">
        <f t="shared" ref="Z325:Z388" ca="1" si="168">IF(ABS(t-T_para)&lt;pas/2,"Para","")</f>
        <v/>
      </c>
      <c r="AA325" s="316" t="str">
        <f t="shared" ref="AA325:AA388" ca="1" si="169">IF(ABS(t-T_satellite)&lt;pas/2,"Satellite","")</f>
        <v/>
      </c>
      <c r="AC325" s="310" t="e">
        <f t="shared" ref="AC325:AC388" ca="1" si="170">IF(ABS(t-ROUND(t,0))&lt;0.001,t,NA())</f>
        <v>#N/A</v>
      </c>
      <c r="AD325" s="323" t="e">
        <f t="shared" ref="AD325:AD388" ca="1" si="171">IF(ABS(t-ROUND(t,0))&lt;0.001,pos_x,NA())</f>
        <v>#N/A</v>
      </c>
      <c r="AE325" s="324">
        <f t="shared" ca="1" si="150"/>
        <v>376.30607287185467</v>
      </c>
      <c r="AG325" s="306">
        <f t="shared" ref="AG325:AG388" ca="1" si="172">IF(AND(L324&lt;L_rampe,Poussee&lt;Poids*SIN(M324)),0,(-W324+Poussee)/m-Poids*SIN(M324)/m)</f>
        <v>3.5663737096036634</v>
      </c>
      <c r="AH325" s="304">
        <f t="shared" ref="AH325:AH388" ca="1" si="173">IF(AND(L324&lt;L_rampe,Poussee&lt;Poids*SIN(M324)), g*SIN(M324), (-W324+Poussee)/m)</f>
        <v>13.311132127721489</v>
      </c>
    </row>
    <row r="326" spans="1:34" x14ac:dyDescent="0.2">
      <c r="A326" s="347">
        <f t="shared" ca="1" si="151"/>
        <v>0.01</v>
      </c>
      <c r="B326" s="304">
        <f t="shared" ca="1" si="152"/>
        <v>3.2199999999999753</v>
      </c>
      <c r="D326" s="306">
        <f t="shared" ca="1" si="153"/>
        <v>1.4434277248623686</v>
      </c>
      <c r="E326" s="307">
        <f t="shared" ca="1" si="154"/>
        <v>2.6368955649429502</v>
      </c>
      <c r="F326" s="304">
        <f t="shared" ca="1" si="155"/>
        <v>3.0061107460167125</v>
      </c>
      <c r="G326" s="306">
        <f t="shared" ca="1" si="156"/>
        <v>22.818367784334018</v>
      </c>
      <c r="H326" s="307">
        <f t="shared" ca="1" si="157"/>
        <v>196.66813628740769</v>
      </c>
      <c r="I326" s="304">
        <f t="shared" ca="1" si="158"/>
        <v>197.98745853993756</v>
      </c>
      <c r="J326" s="306">
        <f t="shared" ca="1" si="159"/>
        <v>40.906968906942069</v>
      </c>
      <c r="K326" s="307">
        <f t="shared" ca="1" si="160"/>
        <v>378.27262238995047</v>
      </c>
      <c r="L326" s="304">
        <f t="shared" ca="1" si="145"/>
        <v>380.47806369740107</v>
      </c>
      <c r="M326" s="306">
        <f t="shared" ca="1" si="161"/>
        <v>1.4552880612862529</v>
      </c>
      <c r="N326" s="304">
        <f t="shared" ca="1" si="162"/>
        <v>83.381863887478175</v>
      </c>
      <c r="P326" s="310">
        <f t="shared" ca="1" si="163"/>
        <v>9</v>
      </c>
      <c r="Q326" s="304">
        <f t="shared" ca="1" si="164"/>
        <v>216.2222222222367</v>
      </c>
      <c r="R326" s="306">
        <f t="shared" ca="1" si="165"/>
        <v>0.1085118591679681</v>
      </c>
      <c r="S326" s="307">
        <f t="shared" ca="1" si="166"/>
        <v>7.5016009071543266</v>
      </c>
      <c r="T326" s="304">
        <f t="shared" ca="1" si="146"/>
        <v>73.590704899183947</v>
      </c>
      <c r="U326" s="311">
        <f t="shared" ca="1" si="147"/>
        <v>0</v>
      </c>
      <c r="V326" s="306">
        <f t="shared" ca="1" si="148"/>
        <v>1.1795217623677718</v>
      </c>
      <c r="W326" s="304">
        <f t="shared" ca="1" si="149"/>
        <v>122.23518197084675</v>
      </c>
      <c r="Y326" s="314" t="str">
        <f t="shared" ca="1" si="167"/>
        <v/>
      </c>
      <c r="Z326" s="315" t="str">
        <f t="shared" ca="1" si="168"/>
        <v/>
      </c>
      <c r="AA326" s="316" t="str">
        <f t="shared" ca="1" si="169"/>
        <v/>
      </c>
      <c r="AC326" s="310" t="e">
        <f t="shared" ca="1" si="170"/>
        <v>#N/A</v>
      </c>
      <c r="AD326" s="323" t="e">
        <f t="shared" ca="1" si="171"/>
        <v>#N/A</v>
      </c>
      <c r="AE326" s="324">
        <f t="shared" ca="1" si="150"/>
        <v>378.27262238995047</v>
      </c>
      <c r="AG326" s="306">
        <f t="shared" ca="1" si="172"/>
        <v>2.7856170062806456</v>
      </c>
      <c r="AH326" s="304">
        <f t="shared" ca="1" si="173"/>
        <v>12.530310961883501</v>
      </c>
    </row>
    <row r="327" spans="1:34" x14ac:dyDescent="0.2">
      <c r="A327" s="347">
        <f t="shared" ca="1" si="151"/>
        <v>0.01</v>
      </c>
      <c r="B327" s="304">
        <f t="shared" ca="1" si="152"/>
        <v>3.2299999999999751</v>
      </c>
      <c r="D327" s="306">
        <f t="shared" ca="1" si="153"/>
        <v>1.3542642126084155</v>
      </c>
      <c r="E327" s="307">
        <f t="shared" ca="1" si="154"/>
        <v>1.8622029047707347</v>
      </c>
      <c r="F327" s="304">
        <f t="shared" ca="1" si="155"/>
        <v>2.3025705670160153</v>
      </c>
      <c r="G327" s="306">
        <f t="shared" ca="1" si="156"/>
        <v>22.831910426460102</v>
      </c>
      <c r="H327" s="307">
        <f t="shared" ca="1" si="157"/>
        <v>196.68675831645541</v>
      </c>
      <c r="I327" s="304">
        <f t="shared" ca="1" si="158"/>
        <v>198.00751761172515</v>
      </c>
      <c r="J327" s="306">
        <f t="shared" ca="1" si="159"/>
        <v>41.135220297996042</v>
      </c>
      <c r="K327" s="307">
        <f t="shared" ca="1" si="160"/>
        <v>380.23939686296978</v>
      </c>
      <c r="L327" s="304">
        <f t="shared" ca="1" si="145"/>
        <v>382.45797844427261</v>
      </c>
      <c r="M327" s="306">
        <f t="shared" ca="1" si="161"/>
        <v>1.4552309615340691</v>
      </c>
      <c r="N327" s="304">
        <f t="shared" ca="1" si="162"/>
        <v>83.378592312666797</v>
      </c>
      <c r="P327" s="310">
        <f t="shared" ca="1" si="163"/>
        <v>9</v>
      </c>
      <c r="Q327" s="304">
        <f t="shared" ca="1" si="164"/>
        <v>210.37037037038499</v>
      </c>
      <c r="R327" s="306">
        <f t="shared" ca="1" si="165"/>
        <v>0.10557508737137039</v>
      </c>
      <c r="S327" s="307">
        <f t="shared" ca="1" si="166"/>
        <v>7.5005451562806131</v>
      </c>
      <c r="T327" s="304">
        <f t="shared" ca="1" si="146"/>
        <v>73.580347983112816</v>
      </c>
      <c r="U327" s="311">
        <f t="shared" ca="1" si="147"/>
        <v>0</v>
      </c>
      <c r="V327" s="306">
        <f t="shared" ca="1" si="148"/>
        <v>1.1792897164172829</v>
      </c>
      <c r="W327" s="304">
        <f t="shared" ca="1" si="149"/>
        <v>122.23589964770001</v>
      </c>
      <c r="Y327" s="314" t="str">
        <f t="shared" ca="1" si="167"/>
        <v/>
      </c>
      <c r="Z327" s="315" t="str">
        <f t="shared" ca="1" si="168"/>
        <v/>
      </c>
      <c r="AA327" s="316" t="str">
        <f t="shared" ca="1" si="169"/>
        <v/>
      </c>
      <c r="AC327" s="310" t="e">
        <f t="shared" ca="1" si="170"/>
        <v>#N/A</v>
      </c>
      <c r="AD327" s="323" t="e">
        <f t="shared" ca="1" si="171"/>
        <v>#N/A</v>
      </c>
      <c r="AE327" s="324">
        <f t="shared" ca="1" si="150"/>
        <v>380.23939686296978</v>
      </c>
      <c r="AG327" s="306">
        <f t="shared" ca="1" si="172"/>
        <v>2.0058748997508236</v>
      </c>
      <c r="AH327" s="304">
        <f t="shared" ca="1" si="173"/>
        <v>11.750504338439702</v>
      </c>
    </row>
    <row r="328" spans="1:34" x14ac:dyDescent="0.2">
      <c r="A328" s="347">
        <f t="shared" ca="1" si="151"/>
        <v>0.01</v>
      </c>
      <c r="B328" s="304">
        <f t="shared" ca="1" si="152"/>
        <v>3.2399999999999749</v>
      </c>
      <c r="D328" s="306">
        <f t="shared" ca="1" si="153"/>
        <v>1.2651303723340184</v>
      </c>
      <c r="E328" s="307">
        <f t="shared" ca="1" si="154"/>
        <v>1.0885357394224915</v>
      </c>
      <c r="F328" s="304">
        <f t="shared" ca="1" si="155"/>
        <v>1.6689712145516717</v>
      </c>
      <c r="G328" s="306">
        <f t="shared" ca="1" si="156"/>
        <v>22.844561730183443</v>
      </c>
      <c r="H328" s="307">
        <f t="shared" ca="1" si="157"/>
        <v>196.69764367384963</v>
      </c>
      <c r="I328" s="304">
        <f t="shared" ca="1" si="158"/>
        <v>198.01978948450801</v>
      </c>
      <c r="J328" s="306">
        <f t="shared" ca="1" si="159"/>
        <v>41.363602658779257</v>
      </c>
      <c r="K328" s="307">
        <f t="shared" ca="1" si="160"/>
        <v>382.20631887292132</v>
      </c>
      <c r="L328" s="304">
        <f t="shared" ca="1" si="145"/>
        <v>384.43805458266297</v>
      </c>
      <c r="M328" s="306">
        <f t="shared" ca="1" si="161"/>
        <v>1.4551738372216128</v>
      </c>
      <c r="N328" s="304">
        <f t="shared" ca="1" si="162"/>
        <v>83.375319330655472</v>
      </c>
      <c r="P328" s="310">
        <f t="shared" ca="1" si="163"/>
        <v>9</v>
      </c>
      <c r="Q328" s="304">
        <f t="shared" ca="1" si="164"/>
        <v>204.51851851853326</v>
      </c>
      <c r="R328" s="306">
        <f t="shared" ca="1" si="165"/>
        <v>0.10263831557477268</v>
      </c>
      <c r="S328" s="307">
        <f t="shared" ca="1" si="166"/>
        <v>7.4995187731248656</v>
      </c>
      <c r="T328" s="304">
        <f t="shared" ca="1" si="146"/>
        <v>73.570279164354929</v>
      </c>
      <c r="U328" s="311">
        <f t="shared" ca="1" si="147"/>
        <v>0</v>
      </c>
      <c r="V328" s="306">
        <f t="shared" ca="1" si="148"/>
        <v>1.1790576978473819</v>
      </c>
      <c r="W328" s="304">
        <f t="shared" ca="1" si="149"/>
        <v>122.22699949585598</v>
      </c>
      <c r="Y328" s="314" t="str">
        <f t="shared" ca="1" si="167"/>
        <v/>
      </c>
      <c r="Z328" s="315" t="str">
        <f t="shared" ca="1" si="168"/>
        <v/>
      </c>
      <c r="AA328" s="316" t="str">
        <f t="shared" ca="1" si="169"/>
        <v/>
      </c>
      <c r="AC328" s="310" t="e">
        <f t="shared" ca="1" si="170"/>
        <v>#N/A</v>
      </c>
      <c r="AD328" s="323" t="e">
        <f t="shared" ca="1" si="171"/>
        <v>#N/A</v>
      </c>
      <c r="AE328" s="324">
        <f t="shared" ca="1" si="150"/>
        <v>382.20631887292132</v>
      </c>
      <c r="AG328" s="306">
        <f t="shared" ca="1" si="172"/>
        <v>1.2271549695098631</v>
      </c>
      <c r="AH328" s="304">
        <f t="shared" ca="1" si="173"/>
        <v>10.971719834304528</v>
      </c>
    </row>
    <row r="329" spans="1:34" x14ac:dyDescent="0.2">
      <c r="A329" s="347">
        <f t="shared" ca="1" si="151"/>
        <v>0.01</v>
      </c>
      <c r="B329" s="304">
        <f t="shared" ca="1" si="152"/>
        <v>3.2499999999999747</v>
      </c>
      <c r="D329" s="306">
        <f t="shared" ca="1" si="153"/>
        <v>1.1760272028006606</v>
      </c>
      <c r="E329" s="307">
        <f t="shared" ca="1" si="154"/>
        <v>0.31590140355390872</v>
      </c>
      <c r="F329" s="304">
        <f t="shared" ca="1" si="155"/>
        <v>1.2177165838135224</v>
      </c>
      <c r="G329" s="306">
        <f t="shared" ca="1" si="156"/>
        <v>22.856322002211449</v>
      </c>
      <c r="H329" s="307">
        <f t="shared" ca="1" si="157"/>
        <v>196.70080268788516</v>
      </c>
      <c r="I329" s="304">
        <f t="shared" ca="1" si="158"/>
        <v>198.0242844540212</v>
      </c>
      <c r="J329" s="306">
        <f t="shared" ca="1" si="159"/>
        <v>41.592107077441234</v>
      </c>
      <c r="K329" s="307">
        <f t="shared" ca="1" si="160"/>
        <v>384.17331110472998</v>
      </c>
      <c r="L329" s="304">
        <f t="shared" ca="1" si="145"/>
        <v>386.4182142916053</v>
      </c>
      <c r="M329" s="306">
        <f t="shared" ca="1" si="161"/>
        <v>1.4551166860956513</v>
      </c>
      <c r="N329" s="304">
        <f t="shared" ca="1" si="162"/>
        <v>83.372044812343461</v>
      </c>
      <c r="P329" s="310">
        <f t="shared" ca="1" si="163"/>
        <v>9</v>
      </c>
      <c r="Q329" s="304">
        <f t="shared" ca="1" si="164"/>
        <v>198.66666666668152</v>
      </c>
      <c r="R329" s="306">
        <f t="shared" ca="1" si="165"/>
        <v>9.9701543778174959E-2</v>
      </c>
      <c r="S329" s="307">
        <f t="shared" ca="1" si="166"/>
        <v>7.498521757687084</v>
      </c>
      <c r="T329" s="304">
        <f t="shared" ca="1" si="146"/>
        <v>73.560498442910301</v>
      </c>
      <c r="U329" s="311">
        <f t="shared" ca="1" si="147"/>
        <v>0</v>
      </c>
      <c r="V329" s="306">
        <f t="shared" ca="1" si="148"/>
        <v>1.1788257157726465</v>
      </c>
      <c r="W329" s="304">
        <f t="shared" ca="1" si="149"/>
        <v>122.20849905594136</v>
      </c>
      <c r="Y329" s="314" t="str">
        <f t="shared" ca="1" si="167"/>
        <v/>
      </c>
      <c r="Z329" s="315" t="str">
        <f t="shared" ca="1" si="168"/>
        <v/>
      </c>
      <c r="AA329" s="316" t="str">
        <f t="shared" ca="1" si="169"/>
        <v/>
      </c>
      <c r="AC329" s="310" t="e">
        <f t="shared" ca="1" si="170"/>
        <v>#N/A</v>
      </c>
      <c r="AD329" s="323" t="e">
        <f t="shared" ca="1" si="171"/>
        <v>#N/A</v>
      </c>
      <c r="AE329" s="324">
        <f t="shared" ca="1" si="150"/>
        <v>384.17331110472998</v>
      </c>
      <c r="AG329" s="306">
        <f t="shared" ca="1" si="172"/>
        <v>0.44946461146517613</v>
      </c>
      <c r="AH329" s="304">
        <f t="shared" ca="1" si="173"/>
        <v>10.193964842799007</v>
      </c>
    </row>
    <row r="330" spans="1:34" x14ac:dyDescent="0.2">
      <c r="A330" s="347">
        <f t="shared" ca="1" si="151"/>
        <v>0.01</v>
      </c>
      <c r="B330" s="304">
        <f t="shared" ca="1" si="152"/>
        <v>3.2599999999999745</v>
      </c>
      <c r="D330" s="306">
        <f t="shared" ca="1" si="153"/>
        <v>1.0869556765396016</v>
      </c>
      <c r="E330" s="307">
        <f t="shared" ca="1" si="154"/>
        <v>-0.45569294916276171</v>
      </c>
      <c r="F330" s="304">
        <f t="shared" ca="1" si="155"/>
        <v>1.178613043656958</v>
      </c>
      <c r="G330" s="306">
        <f t="shared" ca="1" si="156"/>
        <v>22.867191558976845</v>
      </c>
      <c r="H330" s="307">
        <f t="shared" ca="1" si="157"/>
        <v>196.69624575839353</v>
      </c>
      <c r="I330" s="304">
        <f t="shared" ca="1" si="158"/>
        <v>198.02101288813085</v>
      </c>
      <c r="J330" s="306">
        <f t="shared" ca="1" si="159"/>
        <v>41.820724645247175</v>
      </c>
      <c r="K330" s="307">
        <f t="shared" ca="1" si="160"/>
        <v>386.14029634696135</v>
      </c>
      <c r="L330" s="304">
        <f t="shared" ca="1" si="145"/>
        <v>388.39837985343439</v>
      </c>
      <c r="M330" s="306">
        <f t="shared" ca="1" si="161"/>
        <v>1.4550595059018312</v>
      </c>
      <c r="N330" s="304">
        <f t="shared" ca="1" si="162"/>
        <v>83.368768628565832</v>
      </c>
      <c r="P330" s="310">
        <f t="shared" ca="1" si="163"/>
        <v>9</v>
      </c>
      <c r="Q330" s="304">
        <f t="shared" ca="1" si="164"/>
        <v>192.81481481482979</v>
      </c>
      <c r="R330" s="306">
        <f t="shared" ca="1" si="165"/>
        <v>9.6764771981577249E-2</v>
      </c>
      <c r="S330" s="307">
        <f t="shared" ca="1" si="166"/>
        <v>7.4975541099672682</v>
      </c>
      <c r="T330" s="304">
        <f t="shared" ca="1" si="146"/>
        <v>73.551005818778904</v>
      </c>
      <c r="U330" s="311">
        <f t="shared" ca="1" si="147"/>
        <v>0</v>
      </c>
      <c r="V330" s="306">
        <f t="shared" ca="1" si="148"/>
        <v>1.1785937792883934</v>
      </c>
      <c r="W330" s="304">
        <f t="shared" ca="1" si="149"/>
        <v>122.18041707837951</v>
      </c>
      <c r="Y330" s="314" t="str">
        <f t="shared" ca="1" si="167"/>
        <v/>
      </c>
      <c r="Z330" s="315" t="str">
        <f t="shared" ca="1" si="168"/>
        <v/>
      </c>
      <c r="AA330" s="316" t="str">
        <f t="shared" ca="1" si="169"/>
        <v/>
      </c>
      <c r="AC330" s="310" t="e">
        <f t="shared" ca="1" si="170"/>
        <v>#N/A</v>
      </c>
      <c r="AD330" s="323" t="e">
        <f t="shared" ca="1" si="171"/>
        <v>#N/A</v>
      </c>
      <c r="AE330" s="324">
        <f t="shared" ca="1" si="150"/>
        <v>386.14029634696135</v>
      </c>
      <c r="AG330" s="306">
        <f t="shared" ca="1" si="172"/>
        <v>-0.32718896125817309</v>
      </c>
      <c r="AH330" s="304">
        <f t="shared" ca="1" si="173"/>
        <v>9.4172465744560885</v>
      </c>
    </row>
    <row r="331" spans="1:34" x14ac:dyDescent="0.2">
      <c r="A331" s="347">
        <f t="shared" ca="1" si="151"/>
        <v>0.01</v>
      </c>
      <c r="B331" s="304">
        <f t="shared" ca="1" si="152"/>
        <v>3.2699999999999743</v>
      </c>
      <c r="D331" s="306">
        <f t="shared" ca="1" si="153"/>
        <v>0.997916739921893</v>
      </c>
      <c r="E331" s="307">
        <f t="shared" ca="1" si="154"/>
        <v>-1.2262403452191144</v>
      </c>
      <c r="F331" s="304">
        <f t="shared" ca="1" si="155"/>
        <v>1.5809817216082644</v>
      </c>
      <c r="G331" s="306">
        <f t="shared" ca="1" si="156"/>
        <v>22.877170726376065</v>
      </c>
      <c r="H331" s="307">
        <f t="shared" ca="1" si="157"/>
        <v>196.68398335494135</v>
      </c>
      <c r="I331" s="304">
        <f t="shared" ca="1" si="158"/>
        <v>198.00998522501484</v>
      </c>
      <c r="J331" s="306">
        <f t="shared" ca="1" si="159"/>
        <v>42.049446456673941</v>
      </c>
      <c r="K331" s="307">
        <f t="shared" ca="1" si="160"/>
        <v>388.10719749252803</v>
      </c>
      <c r="L331" s="304">
        <f t="shared" ca="1" si="145"/>
        <v>390.3784736544996</v>
      </c>
      <c r="M331" s="306">
        <f t="shared" ca="1" si="161"/>
        <v>1.4550022943841741</v>
      </c>
      <c r="N331" s="304">
        <f t="shared" ca="1" si="162"/>
        <v>83.36549065006453</v>
      </c>
      <c r="P331" s="310">
        <f t="shared" ca="1" si="163"/>
        <v>9</v>
      </c>
      <c r="Q331" s="304">
        <f t="shared" ca="1" si="164"/>
        <v>186.96296296297808</v>
      </c>
      <c r="R331" s="306">
        <f t="shared" ca="1" si="165"/>
        <v>9.382800018497954E-2</v>
      </c>
      <c r="S331" s="307">
        <f t="shared" ca="1" si="166"/>
        <v>7.4966158299654184</v>
      </c>
      <c r="T331" s="304">
        <f t="shared" ca="1" si="146"/>
        <v>73.541801291960752</v>
      </c>
      <c r="U331" s="311">
        <f t="shared" ca="1" si="147"/>
        <v>0</v>
      </c>
      <c r="V331" s="306">
        <f t="shared" ca="1" si="148"/>
        <v>1.1783618974706178</v>
      </c>
      <c r="W331" s="304">
        <f t="shared" ca="1" si="149"/>
        <v>122.14277351419095</v>
      </c>
      <c r="Y331" s="314" t="str">
        <f t="shared" ca="1" si="167"/>
        <v/>
      </c>
      <c r="Z331" s="315" t="str">
        <f t="shared" ca="1" si="168"/>
        <v/>
      </c>
      <c r="AA331" s="316" t="str">
        <f t="shared" ca="1" si="169"/>
        <v/>
      </c>
      <c r="AC331" s="310" t="e">
        <f t="shared" ca="1" si="170"/>
        <v>#N/A</v>
      </c>
      <c r="AD331" s="323" t="e">
        <f t="shared" ca="1" si="171"/>
        <v>#N/A</v>
      </c>
      <c r="AE331" s="324">
        <f t="shared" ca="1" si="150"/>
        <v>388.10719749252803</v>
      </c>
      <c r="AG331" s="306">
        <f t="shared" ca="1" si="172"/>
        <v>-1.1027987174964178</v>
      </c>
      <c r="AH331" s="304">
        <f t="shared" ca="1" si="173"/>
        <v>8.6415720578411204</v>
      </c>
    </row>
    <row r="332" spans="1:34" x14ac:dyDescent="0.2">
      <c r="A332" s="347">
        <f t="shared" ca="1" si="151"/>
        <v>0.01</v>
      </c>
      <c r="B332" s="304">
        <f t="shared" ca="1" si="152"/>
        <v>3.279999999999974</v>
      </c>
      <c r="D332" s="306">
        <f t="shared" ca="1" si="153"/>
        <v>0.90891131322819518</v>
      </c>
      <c r="E332" s="307">
        <f t="shared" ca="1" si="154"/>
        <v>-1.9957339904369071</v>
      </c>
      <c r="F332" s="304">
        <f t="shared" ca="1" si="155"/>
        <v>2.1929600853411406</v>
      </c>
      <c r="G332" s="306">
        <f t="shared" ca="1" si="156"/>
        <v>22.886259839508348</v>
      </c>
      <c r="H332" s="307">
        <f t="shared" ca="1" si="157"/>
        <v>196.66402601503697</v>
      </c>
      <c r="I332" s="304">
        <f t="shared" ca="1" si="158"/>
        <v>197.99121197135148</v>
      </c>
      <c r="J332" s="306">
        <f t="shared" ca="1" si="159"/>
        <v>42.278263609503362</v>
      </c>
      <c r="K332" s="307">
        <f t="shared" ca="1" si="160"/>
        <v>390.07393753937794</v>
      </c>
      <c r="L332" s="304">
        <f t="shared" ca="1" si="145"/>
        <v>392.35841818585874</v>
      </c>
      <c r="M332" s="306">
        <f t="shared" ca="1" si="161"/>
        <v>1.4549450492845706</v>
      </c>
      <c r="N332" s="304">
        <f t="shared" ca="1" si="162"/>
        <v>83.362210747459443</v>
      </c>
      <c r="P332" s="310">
        <f t="shared" ca="1" si="163"/>
        <v>9</v>
      </c>
      <c r="Q332" s="304">
        <f t="shared" ca="1" si="164"/>
        <v>181.11111111112635</v>
      </c>
      <c r="R332" s="306">
        <f t="shared" ca="1" si="165"/>
        <v>9.0891228388381831E-2</v>
      </c>
      <c r="S332" s="307">
        <f t="shared" ca="1" si="166"/>
        <v>7.4957069176815345</v>
      </c>
      <c r="T332" s="304">
        <f t="shared" ca="1" si="146"/>
        <v>73.532884862455859</v>
      </c>
      <c r="U332" s="311">
        <f t="shared" ca="1" si="147"/>
        <v>0</v>
      </c>
      <c r="V332" s="306">
        <f t="shared" ca="1" si="148"/>
        <v>1.1781300793759257</v>
      </c>
      <c r="W332" s="304">
        <f t="shared" ca="1" si="149"/>
        <v>122.09558950577188</v>
      </c>
      <c r="Y332" s="314" t="str">
        <f t="shared" ca="1" si="167"/>
        <v/>
      </c>
      <c r="Z332" s="315" t="str">
        <f t="shared" ca="1" si="168"/>
        <v/>
      </c>
      <c r="AA332" s="316" t="str">
        <f t="shared" ca="1" si="169"/>
        <v/>
      </c>
      <c r="AC332" s="310" t="e">
        <f t="shared" ca="1" si="170"/>
        <v>#N/A</v>
      </c>
      <c r="AD332" s="323" t="e">
        <f t="shared" ca="1" si="171"/>
        <v>#N/A</v>
      </c>
      <c r="AE332" s="324">
        <f t="shared" ca="1" si="150"/>
        <v>390.07393753937794</v>
      </c>
      <c r="AG332" s="306">
        <f t="shared" ca="1" si="172"/>
        <v>-1.877357807212066</v>
      </c>
      <c r="AH332" s="304">
        <f t="shared" ca="1" si="173"/>
        <v>7.86694814038629</v>
      </c>
    </row>
    <row r="333" spans="1:34" x14ac:dyDescent="0.2">
      <c r="A333" s="347">
        <f t="shared" ca="1" si="151"/>
        <v>0.01</v>
      </c>
      <c r="B333" s="304">
        <f t="shared" ca="1" si="152"/>
        <v>3.2899999999999738</v>
      </c>
      <c r="D333" s="306">
        <f t="shared" ca="1" si="153"/>
        <v>0.81994029071846264</v>
      </c>
      <c r="E333" s="307">
        <f t="shared" ca="1" si="154"/>
        <v>-2.7641672691199908</v>
      </c>
      <c r="F333" s="304">
        <f t="shared" ca="1" si="155"/>
        <v>2.8832139657017728</v>
      </c>
      <c r="G333" s="306">
        <f t="shared" ca="1" si="156"/>
        <v>22.894459242415532</v>
      </c>
      <c r="H333" s="307">
        <f t="shared" ca="1" si="157"/>
        <v>196.63638434234576</v>
      </c>
      <c r="I333" s="304">
        <f t="shared" ca="1" si="158"/>
        <v>197.96470370051662</v>
      </c>
      <c r="J333" s="306">
        <f t="shared" ca="1" si="159"/>
        <v>42.507167204912982</v>
      </c>
      <c r="K333" s="307">
        <f t="shared" ca="1" si="160"/>
        <v>392.04043959116484</v>
      </c>
      <c r="L333" s="304">
        <f t="shared" ca="1" si="145"/>
        <v>394.33813604395431</v>
      </c>
      <c r="M333" s="306">
        <f t="shared" ca="1" si="161"/>
        <v>1.4548877683422765</v>
      </c>
      <c r="N333" s="304">
        <f t="shared" ca="1" si="162"/>
        <v>83.358928791219469</v>
      </c>
      <c r="P333" s="310">
        <f t="shared" ca="1" si="163"/>
        <v>9</v>
      </c>
      <c r="Q333" s="304">
        <f t="shared" ca="1" si="164"/>
        <v>175.25925925927461</v>
      </c>
      <c r="R333" s="306">
        <f t="shared" ca="1" si="165"/>
        <v>8.7954456591784108E-2</v>
      </c>
      <c r="S333" s="307">
        <f t="shared" ca="1" si="166"/>
        <v>7.4948273731156165</v>
      </c>
      <c r="T333" s="304">
        <f t="shared" ca="1" si="146"/>
        <v>73.524256530264196</v>
      </c>
      <c r="U333" s="311">
        <f t="shared" ca="1" si="147"/>
        <v>0</v>
      </c>
      <c r="V333" s="306">
        <f t="shared" ca="1" si="148"/>
        <v>1.1778983340414753</v>
      </c>
      <c r="W333" s="304">
        <f t="shared" ca="1" si="149"/>
        <v>122.03888737765595</v>
      </c>
      <c r="Y333" s="314" t="str">
        <f t="shared" ca="1" si="167"/>
        <v/>
      </c>
      <c r="Z333" s="315" t="str">
        <f t="shared" ca="1" si="168"/>
        <v/>
      </c>
      <c r="AA333" s="316" t="str">
        <f t="shared" ca="1" si="169"/>
        <v/>
      </c>
      <c r="AC333" s="310" t="e">
        <f t="shared" ca="1" si="170"/>
        <v>#N/A</v>
      </c>
      <c r="AD333" s="323" t="e">
        <f t="shared" ca="1" si="171"/>
        <v>#N/A</v>
      </c>
      <c r="AE333" s="324">
        <f t="shared" ca="1" si="150"/>
        <v>392.04043959116484</v>
      </c>
      <c r="AG333" s="306">
        <f t="shared" ca="1" si="172"/>
        <v>-2.6508595606445704</v>
      </c>
      <c r="AH333" s="304">
        <f t="shared" ca="1" si="173"/>
        <v>7.0933814892393547</v>
      </c>
    </row>
    <row r="334" spans="1:34" x14ac:dyDescent="0.2">
      <c r="A334" s="347">
        <f t="shared" ca="1" si="151"/>
        <v>0.01</v>
      </c>
      <c r="B334" s="304">
        <f t="shared" ca="1" si="152"/>
        <v>3.2999999999999736</v>
      </c>
      <c r="D334" s="306">
        <f t="shared" ca="1" si="153"/>
        <v>0.73100454070137577</v>
      </c>
      <c r="E334" s="307">
        <f t="shared" ca="1" si="154"/>
        <v>-3.5315337431927079</v>
      </c>
      <c r="F334" s="304">
        <f t="shared" ca="1" si="155"/>
        <v>3.6063968469699406</v>
      </c>
      <c r="G334" s="306">
        <f t="shared" ca="1" si="156"/>
        <v>22.901769287822546</v>
      </c>
      <c r="H334" s="307">
        <f t="shared" ca="1" si="157"/>
        <v>196.60106900491382</v>
      </c>
      <c r="I334" s="304">
        <f t="shared" ca="1" si="158"/>
        <v>197.93047105078981</v>
      </c>
      <c r="J334" s="306">
        <f t="shared" ca="1" si="159"/>
        <v>42.736148347564175</v>
      </c>
      <c r="K334" s="307">
        <f t="shared" ca="1" si="160"/>
        <v>394.00662685790115</v>
      </c>
      <c r="L334" s="304">
        <f t="shared" ca="1" si="145"/>
        <v>396.31754993127214</v>
      </c>
      <c r="M334" s="306">
        <f t="shared" ca="1" si="161"/>
        <v>1.4548304492934041</v>
      </c>
      <c r="N334" s="304">
        <f t="shared" ca="1" si="162"/>
        <v>83.355644651633369</v>
      </c>
      <c r="P334" s="310">
        <f t="shared" ca="1" si="163"/>
        <v>9</v>
      </c>
      <c r="Q334" s="304">
        <f t="shared" ca="1" si="164"/>
        <v>169.40740740742291</v>
      </c>
      <c r="R334" s="306">
        <f t="shared" ca="1" si="165"/>
        <v>8.5017684795186413E-2</v>
      </c>
      <c r="S334" s="307">
        <f t="shared" ca="1" si="166"/>
        <v>7.4939771962676645</v>
      </c>
      <c r="T334" s="304">
        <f t="shared" ca="1" si="146"/>
        <v>73.515916295385793</v>
      </c>
      <c r="U334" s="311">
        <f t="shared" ca="1" si="147"/>
        <v>0</v>
      </c>
      <c r="V334" s="306">
        <f t="shared" ca="1" si="148"/>
        <v>1.177666670484917</v>
      </c>
      <c r="W334" s="304">
        <f t="shared" ca="1" si="149"/>
        <v>121.9726906272609</v>
      </c>
      <c r="Y334" s="314" t="str">
        <f t="shared" ca="1" si="167"/>
        <v/>
      </c>
      <c r="Z334" s="315" t="str">
        <f t="shared" ca="1" si="168"/>
        <v/>
      </c>
      <c r="AA334" s="316" t="str">
        <f t="shared" ca="1" si="169"/>
        <v/>
      </c>
      <c r="AC334" s="310" t="e">
        <f t="shared" ca="1" si="170"/>
        <v>#N/A</v>
      </c>
      <c r="AD334" s="323" t="e">
        <f t="shared" ca="1" si="171"/>
        <v>#N/A</v>
      </c>
      <c r="AE334" s="324">
        <f t="shared" ca="1" si="150"/>
        <v>394.00662685790115</v>
      </c>
      <c r="AG334" s="306">
        <f t="shared" ca="1" si="172"/>
        <v>-3.4232974874476438</v>
      </c>
      <c r="AH334" s="304">
        <f t="shared" ca="1" si="173"/>
        <v>6.3208785921257666</v>
      </c>
    </row>
    <row r="335" spans="1:34" x14ac:dyDescent="0.2">
      <c r="A335" s="347">
        <f t="shared" ca="1" si="151"/>
        <v>0.01</v>
      </c>
      <c r="B335" s="304">
        <f t="shared" ca="1" si="152"/>
        <v>3.3099999999999734</v>
      </c>
      <c r="D335" s="306">
        <f t="shared" ca="1" si="153"/>
        <v>0.64210490560354017</v>
      </c>
      <c r="E335" s="307">
        <f t="shared" ca="1" si="154"/>
        <v>-4.2978271513249693</v>
      </c>
      <c r="F335" s="304">
        <f t="shared" ca="1" si="155"/>
        <v>4.3455283835761822</v>
      </c>
      <c r="G335" s="306">
        <f t="shared" ca="1" si="156"/>
        <v>22.908190336878583</v>
      </c>
      <c r="H335" s="307">
        <f t="shared" ca="1" si="157"/>
        <v>196.55809073340058</v>
      </c>
      <c r="I335" s="304">
        <f t="shared" ca="1" si="158"/>
        <v>197.88852472356854</v>
      </c>
      <c r="J335" s="306">
        <f t="shared" ca="1" si="159"/>
        <v>42.96519814568768</v>
      </c>
      <c r="K335" s="307">
        <f t="shared" ca="1" si="160"/>
        <v>395.9724226565927</v>
      </c>
      <c r="L335" s="304">
        <f t="shared" ca="1" si="145"/>
        <v>398.29658265698123</v>
      </c>
      <c r="M335" s="306">
        <f t="shared" ca="1" si="161"/>
        <v>1.4547730898704172</v>
      </c>
      <c r="N335" s="304">
        <f t="shared" ca="1" si="162"/>
        <v>83.352358198780919</v>
      </c>
      <c r="P335" s="310">
        <f t="shared" ca="1" si="163"/>
        <v>9</v>
      </c>
      <c r="Q335" s="304">
        <f t="shared" ca="1" si="164"/>
        <v>163.55555555557117</v>
      </c>
      <c r="R335" s="306">
        <f t="shared" ca="1" si="165"/>
        <v>8.208091299858869E-2</v>
      </c>
      <c r="S335" s="307">
        <f t="shared" ca="1" si="166"/>
        <v>7.4931563871376783</v>
      </c>
      <c r="T335" s="304">
        <f t="shared" ca="1" si="146"/>
        <v>73.507864157820634</v>
      </c>
      <c r="U335" s="311">
        <f t="shared" ca="1" si="147"/>
        <v>0</v>
      </c>
      <c r="V335" s="306">
        <f t="shared" ca="1" si="148"/>
        <v>1.1774350977043393</v>
      </c>
      <c r="W335" s="304">
        <f t="shared" ca="1" si="149"/>
        <v>121.89702391562209</v>
      </c>
      <c r="Y335" s="314" t="str">
        <f t="shared" ca="1" si="167"/>
        <v/>
      </c>
      <c r="Z335" s="315" t="str">
        <f t="shared" ca="1" si="168"/>
        <v/>
      </c>
      <c r="AA335" s="316" t="str">
        <f t="shared" ca="1" si="169"/>
        <v/>
      </c>
      <c r="AC335" s="310" t="e">
        <f t="shared" ca="1" si="170"/>
        <v>#N/A</v>
      </c>
      <c r="AD335" s="323" t="e">
        <f t="shared" ca="1" si="171"/>
        <v>#N/A</v>
      </c>
      <c r="AE335" s="324">
        <f t="shared" ca="1" si="150"/>
        <v>395.9724226565927</v>
      </c>
      <c r="AG335" s="306">
        <f t="shared" ca="1" si="172"/>
        <v>-4.1946652758133176</v>
      </c>
      <c r="AH335" s="304">
        <f t="shared" ca="1" si="173"/>
        <v>5.5494457582240013</v>
      </c>
    </row>
    <row r="336" spans="1:34" x14ac:dyDescent="0.2">
      <c r="A336" s="347">
        <f t="shared" ca="1" si="151"/>
        <v>0.01</v>
      </c>
      <c r="B336" s="304">
        <f t="shared" ca="1" si="152"/>
        <v>3.3199999999999732</v>
      </c>
      <c r="D336" s="306">
        <f t="shared" ca="1" si="153"/>
        <v>0.55324220203835806</v>
      </c>
      <c r="E336" s="307">
        <f t="shared" ca="1" si="154"/>
        <v>-5.0630414080443202</v>
      </c>
      <c r="F336" s="304">
        <f t="shared" ca="1" si="155"/>
        <v>5.0931783037399807</v>
      </c>
      <c r="G336" s="306">
        <f t="shared" ca="1" si="156"/>
        <v>22.913722758898967</v>
      </c>
      <c r="H336" s="307">
        <f t="shared" ca="1" si="157"/>
        <v>196.50746031932013</v>
      </c>
      <c r="I336" s="304">
        <f t="shared" ca="1" si="158"/>
        <v>197.83887548159197</v>
      </c>
      <c r="J336" s="306">
        <f t="shared" ca="1" si="159"/>
        <v>43.194307711166566</v>
      </c>
      <c r="K336" s="307">
        <f t="shared" ca="1" si="160"/>
        <v>397.93775041185631</v>
      </c>
      <c r="L336" s="304">
        <f t="shared" ca="1" si="145"/>
        <v>400.27515713755679</v>
      </c>
      <c r="M336" s="306">
        <f t="shared" ca="1" si="161"/>
        <v>1.4547156878016203</v>
      </c>
      <c r="N336" s="304">
        <f t="shared" ca="1" si="162"/>
        <v>83.349069302503537</v>
      </c>
      <c r="P336" s="310">
        <f t="shared" ca="1" si="163"/>
        <v>9</v>
      </c>
      <c r="Q336" s="304">
        <f t="shared" ca="1" si="164"/>
        <v>157.70370370371944</v>
      </c>
      <c r="R336" s="306">
        <f t="shared" ca="1" si="165"/>
        <v>7.9144141201990981E-2</v>
      </c>
      <c r="S336" s="307">
        <f t="shared" ca="1" si="166"/>
        <v>7.492364945725658</v>
      </c>
      <c r="T336" s="304">
        <f t="shared" ca="1" si="146"/>
        <v>73.500100117568707</v>
      </c>
      <c r="U336" s="311">
        <f t="shared" ca="1" si="147"/>
        <v>0</v>
      </c>
      <c r="V336" s="306">
        <f t="shared" ca="1" si="148"/>
        <v>1.1772036246782172</v>
      </c>
      <c r="W336" s="304">
        <f t="shared" ca="1" si="149"/>
        <v>121.81191305811642</v>
      </c>
      <c r="Y336" s="314" t="str">
        <f t="shared" ca="1" si="167"/>
        <v/>
      </c>
      <c r="Z336" s="315" t="str">
        <f t="shared" ca="1" si="168"/>
        <v/>
      </c>
      <c r="AA336" s="316" t="str">
        <f t="shared" ca="1" si="169"/>
        <v/>
      </c>
      <c r="AC336" s="310" t="e">
        <f t="shared" ca="1" si="170"/>
        <v>#N/A</v>
      </c>
      <c r="AD336" s="323" t="e">
        <f t="shared" ca="1" si="171"/>
        <v>#N/A</v>
      </c>
      <c r="AE336" s="324">
        <f t="shared" ca="1" si="150"/>
        <v>397.93775041185631</v>
      </c>
      <c r="AG336" s="306">
        <f t="shared" ca="1" si="172"/>
        <v>-4.9649567915831465</v>
      </c>
      <c r="AH336" s="304">
        <f t="shared" ca="1" si="173"/>
        <v>4.7790891190537668</v>
      </c>
    </row>
    <row r="337" spans="1:34" x14ac:dyDescent="0.2">
      <c r="A337" s="347">
        <f t="shared" ca="1" si="151"/>
        <v>0.01</v>
      </c>
      <c r="B337" s="304">
        <f t="shared" ca="1" si="152"/>
        <v>3.329999999999973</v>
      </c>
      <c r="D337" s="306">
        <f t="shared" ca="1" si="153"/>
        <v>0.46441722087456611</v>
      </c>
      <c r="E337" s="307">
        <f t="shared" ca="1" si="154"/>
        <v>-5.8271706028356043</v>
      </c>
      <c r="F337" s="304">
        <f t="shared" ca="1" si="155"/>
        <v>5.8456480042503678</v>
      </c>
      <c r="G337" s="306">
        <f t="shared" ca="1" si="156"/>
        <v>22.918366931107713</v>
      </c>
      <c r="H337" s="307">
        <f t="shared" ca="1" si="157"/>
        <v>196.44918861329177</v>
      </c>
      <c r="I337" s="304">
        <f t="shared" ca="1" si="158"/>
        <v>197.78153414717355</v>
      </c>
      <c r="J337" s="306">
        <f t="shared" ca="1" si="159"/>
        <v>43.423468159616597</v>
      </c>
      <c r="K337" s="307">
        <f t="shared" ca="1" si="160"/>
        <v>399.90253365651938</v>
      </c>
      <c r="L337" s="304">
        <f t="shared" ca="1" si="145"/>
        <v>402.25319639738456</v>
      </c>
      <c r="M337" s="306">
        <f t="shared" ca="1" si="161"/>
        <v>1.4546582408106496</v>
      </c>
      <c r="N337" s="304">
        <f t="shared" ca="1" si="162"/>
        <v>83.345777832375191</v>
      </c>
      <c r="P337" s="310">
        <f t="shared" ca="1" si="163"/>
        <v>9</v>
      </c>
      <c r="Q337" s="304">
        <f t="shared" ca="1" si="164"/>
        <v>151.85185185186771</v>
      </c>
      <c r="R337" s="306">
        <f t="shared" ca="1" si="165"/>
        <v>7.6207369405393258E-2</v>
      </c>
      <c r="S337" s="307">
        <f t="shared" ca="1" si="166"/>
        <v>7.4916028720316037</v>
      </c>
      <c r="T337" s="304">
        <f t="shared" ca="1" si="146"/>
        <v>73.492624174630038</v>
      </c>
      <c r="U337" s="311">
        <f t="shared" ca="1" si="147"/>
        <v>0</v>
      </c>
      <c r="V337" s="306">
        <f t="shared" ca="1" si="148"/>
        <v>1.1769722603653605</v>
      </c>
      <c r="W337" s="304">
        <f t="shared" ca="1" si="149"/>
        <v>121.71738501517842</v>
      </c>
      <c r="Y337" s="314" t="str">
        <f t="shared" ca="1" si="167"/>
        <v/>
      </c>
      <c r="Z337" s="315" t="str">
        <f t="shared" ca="1" si="168"/>
        <v/>
      </c>
      <c r="AA337" s="316" t="str">
        <f t="shared" ca="1" si="169"/>
        <v/>
      </c>
      <c r="AC337" s="310" t="e">
        <f t="shared" ca="1" si="170"/>
        <v>#N/A</v>
      </c>
      <c r="AD337" s="323" t="e">
        <f t="shared" ca="1" si="171"/>
        <v>#N/A</v>
      </c>
      <c r="AE337" s="324">
        <f t="shared" ca="1" si="150"/>
        <v>399.90253365651938</v>
      </c>
      <c r="AG337" s="306">
        <f t="shared" ca="1" si="172"/>
        <v>-5.7341660773471324</v>
      </c>
      <c r="AH337" s="304">
        <f t="shared" ca="1" si="173"/>
        <v>4.0098146293764954</v>
      </c>
    </row>
    <row r="338" spans="1:34" x14ac:dyDescent="0.2">
      <c r="A338" s="347">
        <f t="shared" ca="1" si="151"/>
        <v>0.01</v>
      </c>
      <c r="B338" s="304">
        <f t="shared" ca="1" si="152"/>
        <v>3.3399999999999728</v>
      </c>
      <c r="D338" s="306">
        <f t="shared" ca="1" si="153"/>
        <v>0.37563072730435748</v>
      </c>
      <c r="E338" s="307">
        <f t="shared" ca="1" si="154"/>
        <v>-6.5902089992284179</v>
      </c>
      <c r="F338" s="304">
        <f t="shared" ca="1" si="155"/>
        <v>6.6009054755242804</v>
      </c>
      <c r="G338" s="306">
        <f t="shared" ca="1" si="156"/>
        <v>22.922123238380756</v>
      </c>
      <c r="H338" s="307">
        <f t="shared" ca="1" si="157"/>
        <v>196.38328652329949</v>
      </c>
      <c r="I338" s="304">
        <f t="shared" ca="1" si="158"/>
        <v>197.71651160044237</v>
      </c>
      <c r="J338" s="306">
        <f t="shared" ca="1" si="159"/>
        <v>43.652670610464043</v>
      </c>
      <c r="K338" s="307">
        <f t="shared" ca="1" si="160"/>
        <v>401.86669603220236</v>
      </c>
      <c r="L338" s="304">
        <f t="shared" ca="1" si="145"/>
        <v>404.23062356934832</v>
      </c>
      <c r="M338" s="306">
        <f t="shared" ca="1" si="161"/>
        <v>1.4546007466159601</v>
      </c>
      <c r="N338" s="304">
        <f t="shared" ca="1" si="162"/>
        <v>83.342483657672972</v>
      </c>
      <c r="P338" s="310">
        <f t="shared" ca="1" si="163"/>
        <v>9</v>
      </c>
      <c r="Q338" s="304">
        <f t="shared" ca="1" si="164"/>
        <v>146.00000000001597</v>
      </c>
      <c r="R338" s="306">
        <f t="shared" ca="1" si="165"/>
        <v>7.3270597608795549E-2</v>
      </c>
      <c r="S338" s="307">
        <f t="shared" ca="1" si="166"/>
        <v>7.4908701660555161</v>
      </c>
      <c r="T338" s="304">
        <f t="shared" ca="1" si="146"/>
        <v>73.485436329004614</v>
      </c>
      <c r="U338" s="311">
        <f t="shared" ca="1" si="147"/>
        <v>0</v>
      </c>
      <c r="V338" s="306">
        <f t="shared" ca="1" si="148"/>
        <v>1.1767410137048697</v>
      </c>
      <c r="W338" s="304">
        <f t="shared" ca="1" si="149"/>
        <v>121.61346788301053</v>
      </c>
      <c r="Y338" s="314" t="str">
        <f t="shared" ca="1" si="167"/>
        <v/>
      </c>
      <c r="Z338" s="315" t="str">
        <f t="shared" ca="1" si="168"/>
        <v/>
      </c>
      <c r="AA338" s="316" t="str">
        <f t="shared" ca="1" si="169"/>
        <v/>
      </c>
      <c r="AC338" s="310" t="e">
        <f t="shared" ca="1" si="170"/>
        <v>#N/A</v>
      </c>
      <c r="AD338" s="323" t="e">
        <f t="shared" ca="1" si="171"/>
        <v>#N/A</v>
      </c>
      <c r="AE338" s="324">
        <f t="shared" ca="1" si="150"/>
        <v>401.86669603220236</v>
      </c>
      <c r="AG338" s="306">
        <f t="shared" ca="1" si="172"/>
        <v>-6.5022873515305584</v>
      </c>
      <c r="AH338" s="304">
        <f t="shared" ca="1" si="173"/>
        <v>3.2416280681078873</v>
      </c>
    </row>
    <row r="339" spans="1:34" x14ac:dyDescent="0.2">
      <c r="A339" s="347">
        <f t="shared" ca="1" si="151"/>
        <v>0.01</v>
      </c>
      <c r="B339" s="304">
        <f t="shared" ca="1" si="152"/>
        <v>3.3499999999999726</v>
      </c>
      <c r="D339" s="306">
        <f t="shared" ca="1" si="153"/>
        <v>0.28688346091107453</v>
      </c>
      <c r="E339" s="307">
        <f t="shared" ca="1" si="154"/>
        <v>-7.3521510338727607</v>
      </c>
      <c r="F339" s="304">
        <f t="shared" ca="1" si="155"/>
        <v>7.3577460505932537</v>
      </c>
      <c r="G339" s="306">
        <f t="shared" ca="1" si="156"/>
        <v>22.924992072989866</v>
      </c>
      <c r="H339" s="307">
        <f t="shared" ca="1" si="157"/>
        <v>196.30976501296075</v>
      </c>
      <c r="I339" s="304">
        <f t="shared" ca="1" si="158"/>
        <v>197.64381877759428</v>
      </c>
      <c r="J339" s="306">
        <f t="shared" ca="1" si="159"/>
        <v>43.881906187020896</v>
      </c>
      <c r="K339" s="307">
        <f t="shared" ca="1" si="160"/>
        <v>403.83016128988368</v>
      </c>
      <c r="L339" s="304">
        <f t="shared" ca="1" si="145"/>
        <v>406.2073618953994</v>
      </c>
      <c r="M339" s="306">
        <f t="shared" ca="1" si="161"/>
        <v>1.4545432029303109</v>
      </c>
      <c r="N339" s="304">
        <f t="shared" ca="1" si="162"/>
        <v>83.339186647347645</v>
      </c>
      <c r="P339" s="310">
        <f t="shared" ca="1" si="163"/>
        <v>9</v>
      </c>
      <c r="Q339" s="304">
        <f t="shared" ca="1" si="164"/>
        <v>140.14814814816427</v>
      </c>
      <c r="R339" s="306">
        <f t="shared" ca="1" si="165"/>
        <v>7.0333825812197839E-2</v>
      </c>
      <c r="S339" s="307">
        <f t="shared" ca="1" si="166"/>
        <v>7.4901668277973945</v>
      </c>
      <c r="T339" s="304">
        <f t="shared" ca="1" si="146"/>
        <v>73.478536580692449</v>
      </c>
      <c r="U339" s="311">
        <f t="shared" ca="1" si="147"/>
        <v>0</v>
      </c>
      <c r="V339" s="306">
        <f t="shared" ca="1" si="148"/>
        <v>1.1765098936160885</v>
      </c>
      <c r="W339" s="304">
        <f t="shared" ca="1" si="149"/>
        <v>121.50019088429062</v>
      </c>
      <c r="Y339" s="314" t="str">
        <f t="shared" ca="1" si="167"/>
        <v/>
      </c>
      <c r="Z339" s="315" t="str">
        <f t="shared" ca="1" si="168"/>
        <v/>
      </c>
      <c r="AA339" s="316" t="str">
        <f t="shared" ca="1" si="169"/>
        <v/>
      </c>
      <c r="AC339" s="310" t="e">
        <f t="shared" ca="1" si="170"/>
        <v>#N/A</v>
      </c>
      <c r="AD339" s="323" t="e">
        <f t="shared" ca="1" si="171"/>
        <v>#N/A</v>
      </c>
      <c r="AE339" s="324">
        <f t="shared" ca="1" si="150"/>
        <v>403.83016128988368</v>
      </c>
      <c r="AG339" s="306">
        <f t="shared" ca="1" si="172"/>
        <v>-7.2693150074691806</v>
      </c>
      <c r="AH339" s="304">
        <f t="shared" ca="1" si="173"/>
        <v>2.4745350392421317</v>
      </c>
    </row>
    <row r="340" spans="1:34" x14ac:dyDescent="0.2">
      <c r="A340" s="347">
        <f t="shared" ca="1" si="151"/>
        <v>0.01</v>
      </c>
      <c r="B340" s="304">
        <f t="shared" ca="1" si="152"/>
        <v>3.3599999999999723</v>
      </c>
      <c r="D340" s="306">
        <f t="shared" ca="1" si="153"/>
        <v>0.19817613573639298</v>
      </c>
      <c r="E340" s="307">
        <f t="shared" ca="1" si="154"/>
        <v>-8.1129913156033631</v>
      </c>
      <c r="F340" s="304">
        <f t="shared" ca="1" si="155"/>
        <v>8.1154113800737786</v>
      </c>
      <c r="G340" s="306">
        <f t="shared" ca="1" si="156"/>
        <v>22.92697383434723</v>
      </c>
      <c r="H340" s="307">
        <f t="shared" ca="1" si="157"/>
        <v>196.22863509980471</v>
      </c>
      <c r="I340" s="304">
        <f t="shared" ca="1" si="158"/>
        <v>197.56346666915204</v>
      </c>
      <c r="J340" s="306">
        <f t="shared" ca="1" si="159"/>
        <v>44.111166016557583</v>
      </c>
      <c r="K340" s="307">
        <f t="shared" ca="1" si="160"/>
        <v>405.79285329044751</v>
      </c>
      <c r="L340" s="304">
        <f t="shared" ca="1" si="145"/>
        <v>408.18333472710884</v>
      </c>
      <c r="M340" s="306">
        <f t="shared" ca="1" si="161"/>
        <v>1.4544856074602492</v>
      </c>
      <c r="N340" s="304">
        <f t="shared" ca="1" si="162"/>
        <v>83.335886669994039</v>
      </c>
      <c r="P340" s="310">
        <f t="shared" ca="1" si="163"/>
        <v>9</v>
      </c>
      <c r="Q340" s="304">
        <f t="shared" ca="1" si="164"/>
        <v>134.29629629631253</v>
      </c>
      <c r="R340" s="306">
        <f t="shared" ca="1" si="165"/>
        <v>6.739705401560013E-2</v>
      </c>
      <c r="S340" s="307">
        <f t="shared" ca="1" si="166"/>
        <v>7.4894928572572388</v>
      </c>
      <c r="T340" s="304">
        <f t="shared" ca="1" si="146"/>
        <v>73.471924929693515</v>
      </c>
      <c r="U340" s="311">
        <f t="shared" ca="1" si="147"/>
        <v>0</v>
      </c>
      <c r="V340" s="306">
        <f t="shared" ca="1" si="148"/>
        <v>1.176278908998565</v>
      </c>
      <c r="W340" s="304">
        <f t="shared" ca="1" si="149"/>
        <v>121.37758435887892</v>
      </c>
      <c r="Y340" s="314" t="str">
        <f t="shared" ca="1" si="167"/>
        <v/>
      </c>
      <c r="Z340" s="315" t="str">
        <f t="shared" ca="1" si="168"/>
        <v/>
      </c>
      <c r="AA340" s="316" t="str">
        <f t="shared" ca="1" si="169"/>
        <v/>
      </c>
      <c r="AC340" s="310" t="e">
        <f t="shared" ca="1" si="170"/>
        <v>#N/A</v>
      </c>
      <c r="AD340" s="323" t="e">
        <f t="shared" ca="1" si="171"/>
        <v>#N/A</v>
      </c>
      <c r="AE340" s="324">
        <f t="shared" ca="1" si="150"/>
        <v>405.79285329044751</v>
      </c>
      <c r="AG340" s="306">
        <f t="shared" ca="1" si="172"/>
        <v>-8.0352436124732005</v>
      </c>
      <c r="AH340" s="304">
        <f t="shared" ca="1" si="173"/>
        <v>1.7085409727873131</v>
      </c>
    </row>
    <row r="341" spans="1:34" x14ac:dyDescent="0.2">
      <c r="A341" s="347">
        <f t="shared" ca="1" si="151"/>
        <v>0.01</v>
      </c>
      <c r="B341" s="304">
        <f t="shared" ca="1" si="152"/>
        <v>3.3699999999999721</v>
      </c>
      <c r="D341" s="306">
        <f t="shared" ca="1" si="153"/>
        <v>0.10950944034696432</v>
      </c>
      <c r="E341" s="307">
        <f t="shared" ca="1" si="154"/>
        <v>-8.8727246244929425</v>
      </c>
      <c r="F341" s="304">
        <f t="shared" ca="1" si="155"/>
        <v>8.8734003955422036</v>
      </c>
      <c r="G341" s="306">
        <f t="shared" ca="1" si="156"/>
        <v>22.928068928750701</v>
      </c>
      <c r="H341" s="307">
        <f t="shared" ca="1" si="157"/>
        <v>196.13990785355978</v>
      </c>
      <c r="I341" s="304">
        <f t="shared" ca="1" si="158"/>
        <v>197.47546631823525</v>
      </c>
      <c r="J341" s="306">
        <f t="shared" ca="1" si="159"/>
        <v>44.340441230373074</v>
      </c>
      <c r="K341" s="307">
        <f t="shared" ca="1" si="160"/>
        <v>407.75469600521433</v>
      </c>
      <c r="L341" s="304">
        <f t="shared" ca="1" si="145"/>
        <v>410.15846552620235</v>
      </c>
      <c r="M341" s="306">
        <f t="shared" ca="1" si="161"/>
        <v>1.4544279579055892</v>
      </c>
      <c r="N341" s="304">
        <f t="shared" ca="1" si="162"/>
        <v>83.332583593821212</v>
      </c>
      <c r="P341" s="310">
        <f t="shared" ca="1" si="163"/>
        <v>9</v>
      </c>
      <c r="Q341" s="304">
        <f t="shared" ca="1" si="164"/>
        <v>128.44444444446083</v>
      </c>
      <c r="R341" s="306">
        <f t="shared" ca="1" si="165"/>
        <v>6.4460282219002421E-2</v>
      </c>
      <c r="S341" s="307">
        <f t="shared" ca="1" si="166"/>
        <v>7.488848254435049</v>
      </c>
      <c r="T341" s="304">
        <f t="shared" ca="1" si="146"/>
        <v>73.465601376007839</v>
      </c>
      <c r="U341" s="311">
        <f t="shared" ca="1" si="147"/>
        <v>0</v>
      </c>
      <c r="V341" s="306">
        <f t="shared" ca="1" si="148"/>
        <v>1.1760480687320138</v>
      </c>
      <c r="W341" s="304">
        <f t="shared" ca="1" si="149"/>
        <v>121.24567975452673</v>
      </c>
      <c r="Y341" s="314" t="str">
        <f t="shared" ca="1" si="167"/>
        <v/>
      </c>
      <c r="Z341" s="315" t="str">
        <f t="shared" ca="1" si="168"/>
        <v/>
      </c>
      <c r="AA341" s="316" t="str">
        <f t="shared" ca="1" si="169"/>
        <v/>
      </c>
      <c r="AC341" s="310" t="e">
        <f t="shared" ca="1" si="170"/>
        <v>#N/A</v>
      </c>
      <c r="AD341" s="323" t="e">
        <f t="shared" ca="1" si="171"/>
        <v>#N/A</v>
      </c>
      <c r="AE341" s="324">
        <f t="shared" ca="1" si="150"/>
        <v>407.75469600521433</v>
      </c>
      <c r="AG341" s="306">
        <f t="shared" ca="1" si="172"/>
        <v>-8.8000679068803382</v>
      </c>
      <c r="AH341" s="304">
        <f t="shared" ca="1" si="173"/>
        <v>0.94365112571172327</v>
      </c>
    </row>
    <row r="342" spans="1:34" x14ac:dyDescent="0.2">
      <c r="A342" s="347">
        <f t="shared" ca="1" si="151"/>
        <v>0.01</v>
      </c>
      <c r="B342" s="304">
        <f t="shared" ca="1" si="152"/>
        <v>3.3799999999999719</v>
      </c>
      <c r="D342" s="306">
        <f t="shared" ca="1" si="153"/>
        <v>2.0884037900449095E-2</v>
      </c>
      <c r="E342" s="307">
        <f t="shared" ca="1" si="154"/>
        <v>-9.6313459108949253</v>
      </c>
      <c r="F342" s="304">
        <f t="shared" ca="1" si="155"/>
        <v>9.6313685527214368</v>
      </c>
      <c r="G342" s="306">
        <f t="shared" ca="1" si="156"/>
        <v>22.928277769129707</v>
      </c>
      <c r="H342" s="307">
        <f t="shared" ca="1" si="157"/>
        <v>196.04359439445082</v>
      </c>
      <c r="I342" s="304">
        <f t="shared" ca="1" si="158"/>
        <v>197.37982881883931</v>
      </c>
      <c r="J342" s="306">
        <f t="shared" ca="1" si="159"/>
        <v>44.569722963862475</v>
      </c>
      <c r="K342" s="307">
        <f t="shared" ca="1" si="160"/>
        <v>409.71561351645437</v>
      </c>
      <c r="L342" s="304">
        <f t="shared" ca="1" si="145"/>
        <v>412.13267786507788</v>
      </c>
      <c r="M342" s="306">
        <f t="shared" ca="1" si="161"/>
        <v>1.4543702519588904</v>
      </c>
      <c r="N342" s="304">
        <f t="shared" ca="1" si="162"/>
        <v>83.32927728662257</v>
      </c>
      <c r="P342" s="310">
        <f t="shared" ca="1" si="163"/>
        <v>9</v>
      </c>
      <c r="Q342" s="304">
        <f t="shared" ca="1" si="164"/>
        <v>122.59259259260908</v>
      </c>
      <c r="R342" s="306">
        <f t="shared" ca="1" si="165"/>
        <v>6.1523510422404705E-2</v>
      </c>
      <c r="S342" s="307">
        <f t="shared" ca="1" si="166"/>
        <v>7.4882330193308251</v>
      </c>
      <c r="T342" s="304">
        <f t="shared" ca="1" si="146"/>
        <v>73.459565919635395</v>
      </c>
      <c r="U342" s="311">
        <f t="shared" ca="1" si="147"/>
        <v>0</v>
      </c>
      <c r="V342" s="306">
        <f t="shared" ca="1" si="148"/>
        <v>1.1758173816762767</v>
      </c>
      <c r="W342" s="304">
        <f t="shared" ca="1" si="149"/>
        <v>121.10450961758781</v>
      </c>
      <c r="Y342" s="314" t="str">
        <f t="shared" ca="1" si="167"/>
        <v/>
      </c>
      <c r="Z342" s="315" t="str">
        <f t="shared" ca="1" si="168"/>
        <v/>
      </c>
      <c r="AA342" s="316" t="str">
        <f t="shared" ca="1" si="169"/>
        <v/>
      </c>
      <c r="AC342" s="310" t="e">
        <f t="shared" ca="1" si="170"/>
        <v>#N/A</v>
      </c>
      <c r="AD342" s="323" t="e">
        <f t="shared" ca="1" si="171"/>
        <v>#N/A</v>
      </c>
      <c r="AE342" s="324">
        <f t="shared" ca="1" si="150"/>
        <v>409.71561351645437</v>
      </c>
      <c r="AG342" s="306">
        <f t="shared" ca="1" si="172"/>
        <v>-9.5637828030985137</v>
      </c>
      <c r="AH342" s="304">
        <f t="shared" ca="1" si="173"/>
        <v>0.17987058290057206</v>
      </c>
    </row>
    <row r="343" spans="1:34" x14ac:dyDescent="0.2">
      <c r="A343" s="347">
        <f t="shared" ca="1" si="151"/>
        <v>0.01</v>
      </c>
      <c r="B343" s="304">
        <f t="shared" ca="1" si="152"/>
        <v>3.3899999999999717</v>
      </c>
      <c r="D343" s="306">
        <f t="shared" ca="1" si="153"/>
        <v>-6.7699433789080124E-2</v>
      </c>
      <c r="E343" s="307">
        <f t="shared" ca="1" si="154"/>
        <v>-10.388850294475658</v>
      </c>
      <c r="F343" s="304">
        <f t="shared" ca="1" si="155"/>
        <v>10.38907087541337</v>
      </c>
      <c r="G343" s="306">
        <f t="shared" ca="1" si="156"/>
        <v>22.927600774791816</v>
      </c>
      <c r="H343" s="307">
        <f t="shared" ca="1" si="157"/>
        <v>195.93970589150607</v>
      </c>
      <c r="I343" s="304">
        <f t="shared" ca="1" si="158"/>
        <v>197.27656531412475</v>
      </c>
      <c r="J343" s="306">
        <f t="shared" ca="1" si="159"/>
        <v>44.799002356582079</v>
      </c>
      <c r="K343" s="307">
        <f t="shared" ca="1" si="160"/>
        <v>411.67553001788417</v>
      </c>
      <c r="L343" s="304">
        <f t="shared" ca="1" si="145"/>
        <v>414.105895427306</v>
      </c>
      <c r="M343" s="306">
        <f t="shared" ca="1" si="161"/>
        <v>1.4543124873049307</v>
      </c>
      <c r="N343" s="304">
        <f t="shared" ca="1" si="162"/>
        <v>83.32596761574564</v>
      </c>
      <c r="P343" s="310">
        <f t="shared" ca="1" si="163"/>
        <v>9</v>
      </c>
      <c r="Q343" s="304">
        <f t="shared" ca="1" si="164"/>
        <v>116.74074074075736</v>
      </c>
      <c r="R343" s="306">
        <f t="shared" ca="1" si="165"/>
        <v>5.8586738625806996E-2</v>
      </c>
      <c r="S343" s="307">
        <f t="shared" ca="1" si="166"/>
        <v>7.4876471519445671</v>
      </c>
      <c r="T343" s="304">
        <f t="shared" ca="1" si="146"/>
        <v>73.45381856057621</v>
      </c>
      <c r="U343" s="311">
        <f t="shared" ca="1" si="147"/>
        <v>0</v>
      </c>
      <c r="V343" s="306">
        <f t="shared" ca="1" si="148"/>
        <v>1.1755868566712939</v>
      </c>
      <c r="W343" s="304">
        <f t="shared" ca="1" si="149"/>
        <v>120.95410758373755</v>
      </c>
      <c r="Y343" s="314" t="str">
        <f t="shared" ca="1" si="167"/>
        <v/>
      </c>
      <c r="Z343" s="315" t="str">
        <f t="shared" ca="1" si="168"/>
        <v/>
      </c>
      <c r="AA343" s="316" t="str">
        <f t="shared" ca="1" si="169"/>
        <v/>
      </c>
      <c r="AC343" s="310" t="e">
        <f t="shared" ca="1" si="170"/>
        <v>#N/A</v>
      </c>
      <c r="AD343" s="323" t="e">
        <f t="shared" ca="1" si="171"/>
        <v>#N/A</v>
      </c>
      <c r="AE343" s="324">
        <f t="shared" ca="1" si="150"/>
        <v>411.67553001788417</v>
      </c>
      <c r="AG343" s="306">
        <f t="shared" ca="1" si="172"/>
        <v>-10.326383384638156</v>
      </c>
      <c r="AH343" s="304">
        <f t="shared" ca="1" si="173"/>
        <v>-0.58279574187696104</v>
      </c>
    </row>
    <row r="344" spans="1:34" x14ac:dyDescent="0.2">
      <c r="A344" s="347">
        <f t="shared" ca="1" si="151"/>
        <v>0.01</v>
      </c>
      <c r="B344" s="304">
        <f t="shared" ca="1" si="152"/>
        <v>3.3999999999999715</v>
      </c>
      <c r="D344" s="306">
        <f t="shared" ca="1" si="153"/>
        <v>-0.15624036218647702</v>
      </c>
      <c r="E344" s="307">
        <f t="shared" ca="1" si="154"/>
        <v>-11.145233063237017</v>
      </c>
      <c r="F344" s="304">
        <f t="shared" ca="1" si="155"/>
        <v>11.146328143592747</v>
      </c>
      <c r="G344" s="306">
        <f t="shared" ca="1" si="156"/>
        <v>22.926038371169952</v>
      </c>
      <c r="H344" s="307">
        <f t="shared" ca="1" si="157"/>
        <v>195.82825356087369</v>
      </c>
      <c r="I344" s="304">
        <f t="shared" ca="1" si="158"/>
        <v>197.16568699471568</v>
      </c>
      <c r="J344" s="306">
        <f t="shared" ca="1" si="159"/>
        <v>45.028270552311888</v>
      </c>
      <c r="K344" s="307">
        <f t="shared" ca="1" si="160"/>
        <v>413.63436981514604</v>
      </c>
      <c r="L344" s="304">
        <f t="shared" ca="1" si="145"/>
        <v>416.07804200811319</v>
      </c>
      <c r="M344" s="306">
        <f t="shared" ca="1" si="161"/>
        <v>1.454254661620177</v>
      </c>
      <c r="N344" s="304">
        <f t="shared" ca="1" si="162"/>
        <v>83.322654448061812</v>
      </c>
      <c r="P344" s="310">
        <f t="shared" ca="1" si="163"/>
        <v>9</v>
      </c>
      <c r="Q344" s="304">
        <f t="shared" ca="1" si="164"/>
        <v>110.88888888890563</v>
      </c>
      <c r="R344" s="306">
        <f t="shared" ca="1" si="165"/>
        <v>5.564996682920928E-2</v>
      </c>
      <c r="S344" s="307">
        <f t="shared" ca="1" si="166"/>
        <v>7.487090652276275</v>
      </c>
      <c r="T344" s="304">
        <f t="shared" ca="1" si="146"/>
        <v>73.448359298830255</v>
      </c>
      <c r="U344" s="311">
        <f t="shared" ca="1" si="147"/>
        <v>0</v>
      </c>
      <c r="V344" s="306">
        <f t="shared" ca="1" si="148"/>
        <v>1.1753565025370696</v>
      </c>
      <c r="W344" s="304">
        <f t="shared" ca="1" si="149"/>
        <v>120.79450836869871</v>
      </c>
      <c r="Y344" s="314" t="str">
        <f t="shared" ca="1" si="167"/>
        <v/>
      </c>
      <c r="Z344" s="315" t="str">
        <f t="shared" ca="1" si="168"/>
        <v/>
      </c>
      <c r="AA344" s="316" t="str">
        <f t="shared" ca="1" si="169"/>
        <v/>
      </c>
      <c r="AC344" s="310" t="e">
        <f t="shared" ca="1" si="170"/>
        <v>#N/A</v>
      </c>
      <c r="AD344" s="323" t="e">
        <f t="shared" ca="1" si="171"/>
        <v>#N/A</v>
      </c>
      <c r="AE344" s="324">
        <f t="shared" ca="1" si="150"/>
        <v>413.63436981514604</v>
      </c>
      <c r="AG344" s="306">
        <f t="shared" ca="1" si="172"/>
        <v>-11.087864905135071</v>
      </c>
      <c r="AH344" s="304">
        <f t="shared" ca="1" si="173"/>
        <v>-1.3443431049912336</v>
      </c>
    </row>
    <row r="345" spans="1:34" x14ac:dyDescent="0.2">
      <c r="A345" s="347">
        <f t="shared" ca="1" si="151"/>
        <v>0.01</v>
      </c>
      <c r="B345" s="304">
        <f t="shared" ca="1" si="152"/>
        <v>3.4099999999999713</v>
      </c>
      <c r="D345" s="306">
        <f t="shared" ca="1" si="153"/>
        <v>-0.2447381599715916</v>
      </c>
      <c r="E345" s="307">
        <f t="shared" ca="1" si="154"/>
        <v>-11.900489672529183</v>
      </c>
      <c r="F345" s="304">
        <f t="shared" ca="1" si="155"/>
        <v>11.903005973825268</v>
      </c>
      <c r="G345" s="306">
        <f t="shared" ca="1" si="156"/>
        <v>22.923590989570236</v>
      </c>
      <c r="H345" s="307">
        <f t="shared" ca="1" si="157"/>
        <v>195.70924866414839</v>
      </c>
      <c r="I345" s="304">
        <f t="shared" ca="1" si="158"/>
        <v>197.0472050970086</v>
      </c>
      <c r="J345" s="306">
        <f t="shared" ca="1" si="159"/>
        <v>45.257518699115586</v>
      </c>
      <c r="K345" s="307">
        <f t="shared" ca="1" si="160"/>
        <v>415.59205732627117</v>
      </c>
      <c r="L345" s="304">
        <f t="shared" ca="1" si="145"/>
        <v>418.04904151484845</v>
      </c>
      <c r="M345" s="306">
        <f t="shared" ca="1" si="161"/>
        <v>1.4541967725722509</v>
      </c>
      <c r="N345" s="304">
        <f t="shared" ca="1" si="162"/>
        <v>83.319337649935605</v>
      </c>
      <c r="P345" s="310">
        <f t="shared" ca="1" si="163"/>
        <v>9</v>
      </c>
      <c r="Q345" s="304">
        <f t="shared" ca="1" si="164"/>
        <v>105.03703703705391</v>
      </c>
      <c r="R345" s="306">
        <f t="shared" ca="1" si="165"/>
        <v>5.2713195032611571E-2</v>
      </c>
      <c r="S345" s="307">
        <f t="shared" ca="1" si="166"/>
        <v>7.4865635203259489</v>
      </c>
      <c r="T345" s="304">
        <f t="shared" ca="1" si="146"/>
        <v>73.443188134397559</v>
      </c>
      <c r="U345" s="311">
        <f t="shared" ca="1" si="147"/>
        <v>0</v>
      </c>
      <c r="V345" s="306">
        <f t="shared" ca="1" si="148"/>
        <v>1.1751263280736464</v>
      </c>
      <c r="W345" s="304">
        <f t="shared" ca="1" si="149"/>
        <v>120.6257477589787</v>
      </c>
      <c r="Y345" s="314" t="str">
        <f t="shared" ca="1" si="167"/>
        <v/>
      </c>
      <c r="Z345" s="315" t="str">
        <f t="shared" ca="1" si="168"/>
        <v/>
      </c>
      <c r="AA345" s="316" t="str">
        <f t="shared" ca="1" si="169"/>
        <v/>
      </c>
      <c r="AC345" s="310" t="e">
        <f t="shared" ca="1" si="170"/>
        <v>#N/A</v>
      </c>
      <c r="AD345" s="323" t="e">
        <f t="shared" ca="1" si="171"/>
        <v>#N/A</v>
      </c>
      <c r="AE345" s="324">
        <f t="shared" ca="1" si="150"/>
        <v>415.59205732627117</v>
      </c>
      <c r="AG345" s="306">
        <f t="shared" ca="1" si="172"/>
        <v>-11.848222787363662</v>
      </c>
      <c r="AH345" s="304">
        <f t="shared" ca="1" si="173"/>
        <v>-2.1047669319659712</v>
      </c>
    </row>
    <row r="346" spans="1:34" x14ac:dyDescent="0.2">
      <c r="A346" s="347">
        <f t="shared" ca="1" si="151"/>
        <v>0.01</v>
      </c>
      <c r="B346" s="304">
        <f t="shared" ca="1" si="152"/>
        <v>3.4199999999999711</v>
      </c>
      <c r="D346" s="306">
        <f t="shared" ca="1" si="153"/>
        <v>-0.33319226497618698</v>
      </c>
      <c r="E346" s="307">
        <f t="shared" ca="1" si="154"/>
        <v>-12.654615744054414</v>
      </c>
      <c r="F346" s="304">
        <f t="shared" ca="1" si="155"/>
        <v>12.659001410660709</v>
      </c>
      <c r="G346" s="306">
        <f t="shared" ca="1" si="156"/>
        <v>22.920259066920476</v>
      </c>
      <c r="H346" s="307">
        <f t="shared" ca="1" si="157"/>
        <v>195.58270250670785</v>
      </c>
      <c r="I346" s="304">
        <f t="shared" ca="1" si="158"/>
        <v>196.92113090149095</v>
      </c>
      <c r="J346" s="306">
        <f t="shared" ca="1" si="159"/>
        <v>45.486737949398041</v>
      </c>
      <c r="K346" s="307">
        <f t="shared" ca="1" si="160"/>
        <v>417.54851708212544</v>
      </c>
      <c r="L346" s="304">
        <f t="shared" ca="1" si="145"/>
        <v>420.01881796743254</v>
      </c>
      <c r="M346" s="306">
        <f t="shared" ca="1" si="161"/>
        <v>1.454138817819391</v>
      </c>
      <c r="N346" s="304">
        <f t="shared" ca="1" si="162"/>
        <v>83.316017087194012</v>
      </c>
      <c r="P346" s="310">
        <f t="shared" ca="1" si="163"/>
        <v>9</v>
      </c>
      <c r="Q346" s="304">
        <f t="shared" ca="1" si="164"/>
        <v>99.185185185202172</v>
      </c>
      <c r="R346" s="306">
        <f t="shared" ca="1" si="165"/>
        <v>4.9776423236013854E-2</v>
      </c>
      <c r="S346" s="307">
        <f t="shared" ca="1" si="166"/>
        <v>7.4860657560935886</v>
      </c>
      <c r="T346" s="304">
        <f t="shared" ca="1" si="146"/>
        <v>73.438305067278108</v>
      </c>
      <c r="U346" s="311">
        <f t="shared" ca="1" si="147"/>
        <v>0</v>
      </c>
      <c r="V346" s="306">
        <f t="shared" ca="1" si="148"/>
        <v>1.174896342061079</v>
      </c>
      <c r="W346" s="304">
        <f t="shared" ca="1" si="149"/>
        <v>120.44786260261886</v>
      </c>
      <c r="Y346" s="314" t="str">
        <f t="shared" ca="1" si="167"/>
        <v/>
      </c>
      <c r="Z346" s="315" t="str">
        <f t="shared" ca="1" si="168"/>
        <v/>
      </c>
      <c r="AA346" s="316" t="str">
        <f t="shared" ca="1" si="169"/>
        <v/>
      </c>
      <c r="AC346" s="310" t="e">
        <f t="shared" ca="1" si="170"/>
        <v>#N/A</v>
      </c>
      <c r="AD346" s="323" t="e">
        <f t="shared" ca="1" si="171"/>
        <v>#N/A</v>
      </c>
      <c r="AE346" s="324">
        <f t="shared" ca="1" si="150"/>
        <v>417.54851708212544</v>
      </c>
      <c r="AG346" s="306">
        <f t="shared" ca="1" si="172"/>
        <v>-12.607452622241274</v>
      </c>
      <c r="AH346" s="304">
        <f t="shared" ca="1" si="173"/>
        <v>-2.8640628164832926</v>
      </c>
    </row>
    <row r="347" spans="1:34" x14ac:dyDescent="0.2">
      <c r="A347" s="347">
        <f t="shared" ca="1" si="151"/>
        <v>0.01</v>
      </c>
      <c r="B347" s="304">
        <f t="shared" ca="1" si="152"/>
        <v>3.4299999999999708</v>
      </c>
      <c r="D347" s="306">
        <f t="shared" ca="1" si="153"/>
        <v>-0.42160214012172215</v>
      </c>
      <c r="E347" s="307">
        <f t="shared" ca="1" si="154"/>
        <v>-13.407607064861905</v>
      </c>
      <c r="F347" s="304">
        <f t="shared" ca="1" si="155"/>
        <v>13.414234065733686</v>
      </c>
      <c r="G347" s="306">
        <f t="shared" ca="1" si="156"/>
        <v>22.91604304551926</v>
      </c>
      <c r="H347" s="307">
        <f t="shared" ca="1" si="157"/>
        <v>195.44862643605921</v>
      </c>
      <c r="I347" s="304">
        <f t="shared" ca="1" si="158"/>
        <v>196.78747573106963</v>
      </c>
      <c r="J347" s="306">
        <f t="shared" ca="1" si="159"/>
        <v>45.71591945996024</v>
      </c>
      <c r="K347" s="307">
        <f t="shared" ca="1" si="160"/>
        <v>419.50367372683928</v>
      </c>
      <c r="L347" s="304">
        <f t="shared" ca="1" si="145"/>
        <v>421.98729549879107</v>
      </c>
      <c r="M347" s="306">
        <f t="shared" ca="1" si="161"/>
        <v>1.4540807950099097</v>
      </c>
      <c r="N347" s="304">
        <f t="shared" ca="1" si="162"/>
        <v>83.312692625095238</v>
      </c>
      <c r="P347" s="310">
        <f t="shared" ca="1" si="163"/>
        <v>9</v>
      </c>
      <c r="Q347" s="304">
        <f t="shared" ca="1" si="164"/>
        <v>93.333333333350453</v>
      </c>
      <c r="R347" s="306">
        <f t="shared" ca="1" si="165"/>
        <v>4.6839651439416145E-2</v>
      </c>
      <c r="S347" s="307">
        <f t="shared" ca="1" si="166"/>
        <v>7.4855973595791943</v>
      </c>
      <c r="T347" s="304">
        <f t="shared" ca="1" si="146"/>
        <v>73.433710097471902</v>
      </c>
      <c r="U347" s="311">
        <f t="shared" ca="1" si="147"/>
        <v>0</v>
      </c>
      <c r="V347" s="306">
        <f t="shared" ca="1" si="148"/>
        <v>1.1746665532594129</v>
      </c>
      <c r="W347" s="304">
        <f t="shared" ca="1" si="149"/>
        <v>120.2608907999585</v>
      </c>
      <c r="Y347" s="314" t="str">
        <f t="shared" ca="1" si="167"/>
        <v/>
      </c>
      <c r="Z347" s="315" t="str">
        <f t="shared" ca="1" si="168"/>
        <v/>
      </c>
      <c r="AA347" s="316" t="str">
        <f t="shared" ca="1" si="169"/>
        <v/>
      </c>
      <c r="AC347" s="310" t="e">
        <f t="shared" ca="1" si="170"/>
        <v>#N/A</v>
      </c>
      <c r="AD347" s="323" t="e">
        <f t="shared" ca="1" si="171"/>
        <v>#N/A</v>
      </c>
      <c r="AE347" s="324">
        <f t="shared" ca="1" si="150"/>
        <v>419.50367372683928</v>
      </c>
      <c r="AG347" s="306">
        <f t="shared" ca="1" si="172"/>
        <v>-13.365550167823816</v>
      </c>
      <c r="AH347" s="304">
        <f t="shared" ca="1" si="173"/>
        <v>-3.6222265193799652</v>
      </c>
    </row>
    <row r="348" spans="1:34" x14ac:dyDescent="0.2">
      <c r="A348" s="347">
        <f t="shared" ca="1" si="151"/>
        <v>0.01</v>
      </c>
      <c r="B348" s="304">
        <f t="shared" ca="1" si="152"/>
        <v>3.4399999999999706</v>
      </c>
      <c r="D348" s="306">
        <f t="shared" ca="1" si="153"/>
        <v>-0.50996727335808778</v>
      </c>
      <c r="E348" s="307">
        <f t="shared" ca="1" si="154"/>
        <v>-14.159459586334185</v>
      </c>
      <c r="F348" s="304">
        <f t="shared" ca="1" si="155"/>
        <v>14.16864010400883</v>
      </c>
      <c r="G348" s="306">
        <f t="shared" ca="1" si="156"/>
        <v>22.910943372785677</v>
      </c>
      <c r="H348" s="307">
        <f t="shared" ca="1" si="157"/>
        <v>195.30703184019586</v>
      </c>
      <c r="I348" s="304">
        <f t="shared" ca="1" si="158"/>
        <v>196.64625094940985</v>
      </c>
      <c r="J348" s="306">
        <f t="shared" ca="1" si="159"/>
        <v>45.945054392051766</v>
      </c>
      <c r="K348" s="307">
        <f t="shared" ca="1" si="160"/>
        <v>421.45745201822058</v>
      </c>
      <c r="L348" s="304">
        <f t="shared" ca="1" si="145"/>
        <v>423.95439835527037</v>
      </c>
      <c r="M348" s="306">
        <f t="shared" ca="1" si="161"/>
        <v>1.4540227017816465</v>
      </c>
      <c r="N348" s="304">
        <f t="shared" ca="1" si="162"/>
        <v>83.309364128297474</v>
      </c>
      <c r="P348" s="310">
        <f t="shared" ca="1" si="163"/>
        <v>9</v>
      </c>
      <c r="Q348" s="304">
        <f t="shared" ca="1" si="164"/>
        <v>87.481481481498719</v>
      </c>
      <c r="R348" s="306">
        <f t="shared" ca="1" si="165"/>
        <v>4.3902879642818429E-2</v>
      </c>
      <c r="S348" s="307">
        <f t="shared" ca="1" si="166"/>
        <v>7.4851583307827658</v>
      </c>
      <c r="T348" s="304">
        <f t="shared" ca="1" si="146"/>
        <v>73.429403224978941</v>
      </c>
      <c r="U348" s="311">
        <f t="shared" ca="1" si="147"/>
        <v>0</v>
      </c>
      <c r="V348" s="306">
        <f t="shared" ca="1" si="148"/>
        <v>1.1744369704086621</v>
      </c>
      <c r="W348" s="304">
        <f t="shared" ca="1" si="149"/>
        <v>120.0648712944154</v>
      </c>
      <c r="Y348" s="314" t="str">
        <f t="shared" ca="1" si="167"/>
        <v/>
      </c>
      <c r="Z348" s="315" t="str">
        <f t="shared" ca="1" si="168"/>
        <v/>
      </c>
      <c r="AA348" s="316" t="str">
        <f t="shared" ca="1" si="169"/>
        <v/>
      </c>
      <c r="AC348" s="310" t="e">
        <f t="shared" ca="1" si="170"/>
        <v>#N/A</v>
      </c>
      <c r="AD348" s="323" t="e">
        <f t="shared" ca="1" si="171"/>
        <v>#N/A</v>
      </c>
      <c r="AE348" s="324">
        <f t="shared" ca="1" si="150"/>
        <v>421.45745201822058</v>
      </c>
      <c r="AG348" s="306">
        <f t="shared" ca="1" si="172"/>
        <v>-14.12251134829312</v>
      </c>
      <c r="AH348" s="304">
        <f t="shared" ca="1" si="173"/>
        <v>-4.3792539676354254</v>
      </c>
    </row>
    <row r="349" spans="1:34" x14ac:dyDescent="0.2">
      <c r="A349" s="347">
        <f t="shared" ca="1" si="151"/>
        <v>0.01</v>
      </c>
      <c r="B349" s="304">
        <f t="shared" ca="1" si="152"/>
        <v>3.4499999999999704</v>
      </c>
      <c r="D349" s="306">
        <f t="shared" ca="1" si="153"/>
        <v>-0.59828717760332795</v>
      </c>
      <c r="E349" s="307">
        <f t="shared" ca="1" si="154"/>
        <v>-14.910169423165344</v>
      </c>
      <c r="F349" s="304">
        <f t="shared" ca="1" si="155"/>
        <v>14.922168065478266</v>
      </c>
      <c r="G349" s="306">
        <f t="shared" ca="1" si="156"/>
        <v>22.904960501009644</v>
      </c>
      <c r="H349" s="307">
        <f t="shared" ca="1" si="157"/>
        <v>195.1579301459642</v>
      </c>
      <c r="I349" s="304">
        <f t="shared" ca="1" si="158"/>
        <v>196.49746795928405</v>
      </c>
      <c r="J349" s="306">
        <f t="shared" ca="1" si="159"/>
        <v>46.174133911420739</v>
      </c>
      <c r="K349" s="307">
        <f t="shared" ca="1" si="160"/>
        <v>423.40977682815139</v>
      </c>
      <c r="L349" s="304">
        <f t="shared" ca="1" si="145"/>
        <v>425.92005089703719</v>
      </c>
      <c r="M349" s="306">
        <f t="shared" ca="1" si="161"/>
        <v>1.4539645357614135</v>
      </c>
      <c r="N349" s="304">
        <f t="shared" ca="1" si="162"/>
        <v>83.306031460827043</v>
      </c>
      <c r="P349" s="310">
        <f t="shared" ca="1" si="163"/>
        <v>9</v>
      </c>
      <c r="Q349" s="304">
        <f t="shared" ca="1" si="164"/>
        <v>81.629629629646985</v>
      </c>
      <c r="R349" s="306">
        <f t="shared" ca="1" si="165"/>
        <v>4.0966107846220713E-2</v>
      </c>
      <c r="S349" s="307">
        <f t="shared" ca="1" si="166"/>
        <v>7.4847486697043033</v>
      </c>
      <c r="T349" s="304">
        <f t="shared" ca="1" si="146"/>
        <v>73.425384449799225</v>
      </c>
      <c r="U349" s="311">
        <f t="shared" ca="1" si="147"/>
        <v>0</v>
      </c>
      <c r="V349" s="306">
        <f t="shared" ca="1" si="148"/>
        <v>1.1742076022287953</v>
      </c>
      <c r="W349" s="304">
        <f t="shared" ca="1" si="149"/>
        <v>119.85984406328554</v>
      </c>
      <c r="Y349" s="314" t="str">
        <f t="shared" ca="1" si="167"/>
        <v/>
      </c>
      <c r="Z349" s="315" t="str">
        <f t="shared" ca="1" si="168"/>
        <v/>
      </c>
      <c r="AA349" s="316" t="str">
        <f t="shared" ca="1" si="169"/>
        <v/>
      </c>
      <c r="AC349" s="310" t="e">
        <f t="shared" ca="1" si="170"/>
        <v>#N/A</v>
      </c>
      <c r="AD349" s="323" t="e">
        <f t="shared" ca="1" si="171"/>
        <v>#N/A</v>
      </c>
      <c r="AE349" s="324">
        <f t="shared" ca="1" si="150"/>
        <v>423.40977682815139</v>
      </c>
      <c r="AG349" s="306">
        <f t="shared" ca="1" si="172"/>
        <v>-14.878332252936261</v>
      </c>
      <c r="AH349" s="304">
        <f t="shared" ca="1" si="173"/>
        <v>-5.1351412533517786</v>
      </c>
    </row>
    <row r="350" spans="1:34" x14ac:dyDescent="0.2">
      <c r="A350" s="347">
        <f t="shared" ca="1" si="151"/>
        <v>0.01</v>
      </c>
      <c r="B350" s="304">
        <f t="shared" ca="1" si="152"/>
        <v>3.4599999999999702</v>
      </c>
      <c r="D350" s="306">
        <f t="shared" ca="1" si="153"/>
        <v>-0.6865613906844551</v>
      </c>
      <c r="E350" s="307">
        <f t="shared" ca="1" si="154"/>
        <v>-15.659732852331562</v>
      </c>
      <c r="F350" s="304">
        <f t="shared" ca="1" si="155"/>
        <v>15.674775901095714</v>
      </c>
      <c r="G350" s="306">
        <f t="shared" ca="1" si="156"/>
        <v>22.8980948871028</v>
      </c>
      <c r="H350" s="307">
        <f t="shared" ca="1" si="157"/>
        <v>195.0013328174409</v>
      </c>
      <c r="I350" s="304">
        <f t="shared" ca="1" si="158"/>
        <v>196.34113820093108</v>
      </c>
      <c r="J350" s="306">
        <f t="shared" ca="1" si="159"/>
        <v>46.403149188361304</v>
      </c>
      <c r="K350" s="307">
        <f t="shared" ca="1" si="160"/>
        <v>425.36057314296841</v>
      </c>
      <c r="L350" s="304">
        <f t="shared" ca="1" si="145"/>
        <v>427.88417759846169</v>
      </c>
      <c r="M350" s="306">
        <f t="shared" ca="1" si="161"/>
        <v>1.453906294564439</v>
      </c>
      <c r="N350" s="304">
        <f t="shared" ca="1" si="162"/>
        <v>83.302694486046619</v>
      </c>
      <c r="P350" s="310">
        <f t="shared" ca="1" si="163"/>
        <v>9</v>
      </c>
      <c r="Q350" s="304">
        <f t="shared" ca="1" si="164"/>
        <v>75.777777777795279</v>
      </c>
      <c r="R350" s="306">
        <f t="shared" ca="1" si="165"/>
        <v>3.8029336049623011E-2</v>
      </c>
      <c r="S350" s="307">
        <f t="shared" ca="1" si="166"/>
        <v>7.4843683763438067</v>
      </c>
      <c r="T350" s="304">
        <f t="shared" ca="1" si="146"/>
        <v>73.421653771932753</v>
      </c>
      <c r="U350" s="311">
        <f t="shared" ca="1" si="147"/>
        <v>0</v>
      </c>
      <c r="V350" s="306">
        <f t="shared" ca="1" si="148"/>
        <v>1.1739784574197161</v>
      </c>
      <c r="W350" s="304">
        <f t="shared" ca="1" si="149"/>
        <v>119.64585010856258</v>
      </c>
      <c r="Y350" s="314" t="str">
        <f t="shared" ca="1" si="167"/>
        <v/>
      </c>
      <c r="Z350" s="315" t="str">
        <f t="shared" ca="1" si="168"/>
        <v/>
      </c>
      <c r="AA350" s="316" t="str">
        <f t="shared" ca="1" si="169"/>
        <v/>
      </c>
      <c r="AC350" s="310" t="e">
        <f t="shared" ca="1" si="170"/>
        <v>#N/A</v>
      </c>
      <c r="AD350" s="323" t="e">
        <f t="shared" ca="1" si="171"/>
        <v>#N/A</v>
      </c>
      <c r="AE350" s="324">
        <f t="shared" ca="1" si="150"/>
        <v>425.36057314296841</v>
      </c>
      <c r="AG350" s="306">
        <f t="shared" ca="1" si="172"/>
        <v>-15.633009135117419</v>
      </c>
      <c r="AH350" s="304">
        <f t="shared" ca="1" si="173"/>
        <v>-5.8898846327263241</v>
      </c>
    </row>
    <row r="351" spans="1:34" x14ac:dyDescent="0.2">
      <c r="A351" s="347">
        <f t="shared" ca="1" si="151"/>
        <v>0.01</v>
      </c>
      <c r="B351" s="304">
        <f t="shared" ca="1" si="152"/>
        <v>3.46999999999997</v>
      </c>
      <c r="D351" s="306">
        <f t="shared" ca="1" si="153"/>
        <v>-0.77478947527936126</v>
      </c>
      <c r="E351" s="307">
        <f t="shared" ca="1" si="154"/>
        <v>-16.40814631205405</v>
      </c>
      <c r="F351" s="304">
        <f t="shared" ca="1" si="155"/>
        <v>16.426428830661173</v>
      </c>
      <c r="G351" s="306">
        <f t="shared" ca="1" si="156"/>
        <v>22.890346992350008</v>
      </c>
      <c r="H351" s="307">
        <f t="shared" ca="1" si="157"/>
        <v>194.83725135432036</v>
      </c>
      <c r="I351" s="304">
        <f t="shared" ca="1" si="158"/>
        <v>196.17727315042586</v>
      </c>
      <c r="J351" s="306">
        <f t="shared" ca="1" si="159"/>
        <v>46.632091397758572</v>
      </c>
      <c r="K351" s="307">
        <f t="shared" ca="1" si="160"/>
        <v>427.30976606382723</v>
      </c>
      <c r="L351" s="304">
        <f t="shared" ca="1" si="145"/>
        <v>429.84670304848407</v>
      </c>
      <c r="M351" s="306">
        <f t="shared" ca="1" si="161"/>
        <v>1.4538479757938017</v>
      </c>
      <c r="N351" s="304">
        <f t="shared" ca="1" si="162"/>
        <v>83.2993530666227</v>
      </c>
      <c r="P351" s="310">
        <f t="shared" ca="1" si="163"/>
        <v>9</v>
      </c>
      <c r="Q351" s="304">
        <f t="shared" ca="1" si="164"/>
        <v>69.925925925943545</v>
      </c>
      <c r="R351" s="306">
        <f t="shared" ca="1" si="165"/>
        <v>3.5092564253025295E-2</v>
      </c>
      <c r="S351" s="307">
        <f t="shared" ca="1" si="166"/>
        <v>7.4840174507012769</v>
      </c>
      <c r="T351" s="304">
        <f t="shared" ca="1" si="146"/>
        <v>73.418211191379527</v>
      </c>
      <c r="U351" s="311">
        <f t="shared" ca="1" si="147"/>
        <v>0</v>
      </c>
      <c r="V351" s="306">
        <f t="shared" ca="1" si="148"/>
        <v>1.1737495446612545</v>
      </c>
      <c r="W351" s="304">
        <f t="shared" ca="1" si="149"/>
        <v>119.42293144778104</v>
      </c>
      <c r="Y351" s="314" t="str">
        <f t="shared" ca="1" si="167"/>
        <v/>
      </c>
      <c r="Z351" s="315" t="str">
        <f t="shared" ca="1" si="168"/>
        <v/>
      </c>
      <c r="AA351" s="316" t="str">
        <f t="shared" ca="1" si="169"/>
        <v/>
      </c>
      <c r="AC351" s="310" t="e">
        <f t="shared" ca="1" si="170"/>
        <v>#N/A</v>
      </c>
      <c r="AD351" s="323" t="e">
        <f t="shared" ca="1" si="171"/>
        <v>#N/A</v>
      </c>
      <c r="AE351" s="324">
        <f t="shared" ca="1" si="150"/>
        <v>427.30976606382723</v>
      </c>
      <c r="AG351" s="306">
        <f t="shared" ca="1" si="172"/>
        <v>-16.386538411242313</v>
      </c>
      <c r="AH351" s="304">
        <f t="shared" ca="1" si="173"/>
        <v>-6.6434805250166971</v>
      </c>
    </row>
    <row r="352" spans="1:34" x14ac:dyDescent="0.2">
      <c r="A352" s="347">
        <f t="shared" ca="1" si="151"/>
        <v>0.01</v>
      </c>
      <c r="B352" s="304">
        <f t="shared" ca="1" si="152"/>
        <v>3.4799999999999698</v>
      </c>
      <c r="D352" s="306">
        <f t="shared" ca="1" si="153"/>
        <v>-0.86087779480308968</v>
      </c>
      <c r="E352" s="307">
        <f t="shared" ca="1" si="154"/>
        <v>-17.13758936976615</v>
      </c>
      <c r="F352" s="304">
        <f t="shared" ca="1" si="155"/>
        <v>17.159198116004919</v>
      </c>
      <c r="G352" s="306">
        <f t="shared" ca="1" si="156"/>
        <v>22.881738214401977</v>
      </c>
      <c r="H352" s="307">
        <f t="shared" ca="1" si="157"/>
        <v>194.66587546062269</v>
      </c>
      <c r="I352" s="304">
        <f t="shared" ca="1" si="158"/>
        <v>196.00606371376136</v>
      </c>
      <c r="J352" s="306">
        <f t="shared" ca="1" si="159"/>
        <v>46.860951823792334</v>
      </c>
      <c r="K352" s="307">
        <f t="shared" ca="1" si="160"/>
        <v>429.25728169790193</v>
      </c>
      <c r="L352" s="304">
        <f t="shared" ca="1" si="145"/>
        <v>431.80755284791366</v>
      </c>
      <c r="M352" s="306">
        <f t="shared" ca="1" si="161"/>
        <v>1.4537895770933107</v>
      </c>
      <c r="N352" s="304">
        <f t="shared" ca="1" si="162"/>
        <v>83.296007067555522</v>
      </c>
      <c r="P352" s="310">
        <f t="shared" ca="1" si="163"/>
        <v>10</v>
      </c>
      <c r="Q352" s="304">
        <f t="shared" ca="1" si="164"/>
        <v>64.20833333335024</v>
      </c>
      <c r="R352" s="306">
        <f t="shared" ca="1" si="165"/>
        <v>3.2223170923279483E-2</v>
      </c>
      <c r="S352" s="307">
        <f t="shared" ca="1" si="166"/>
        <v>7.483695218992044</v>
      </c>
      <c r="T352" s="304">
        <f t="shared" ca="1" si="146"/>
        <v>73.415050098311951</v>
      </c>
      <c r="U352" s="311">
        <f t="shared" ca="1" si="147"/>
        <v>0</v>
      </c>
      <c r="V352" s="306">
        <f t="shared" ca="1" si="148"/>
        <v>1.1735208725085648</v>
      </c>
      <c r="W352" s="304">
        <f t="shared" ca="1" si="149"/>
        <v>119.1913492753267</v>
      </c>
      <c r="Y352" s="314" t="str">
        <f t="shared" ca="1" si="167"/>
        <v/>
      </c>
      <c r="Z352" s="315" t="str">
        <f t="shared" ca="1" si="168"/>
        <v/>
      </c>
      <c r="AA352" s="316" t="str">
        <f t="shared" ca="1" si="169"/>
        <v/>
      </c>
      <c r="AC352" s="310" t="e">
        <f t="shared" ca="1" si="170"/>
        <v>#N/A</v>
      </c>
      <c r="AD352" s="323" t="e">
        <f t="shared" ca="1" si="171"/>
        <v>#N/A</v>
      </c>
      <c r="AE352" s="324">
        <f t="shared" ca="1" si="150"/>
        <v>429.25728169790193</v>
      </c>
      <c r="AG352" s="306">
        <f t="shared" ca="1" si="172"/>
        <v>-17.120977089481055</v>
      </c>
      <c r="AH352" s="304">
        <f t="shared" ca="1" si="173"/>
        <v>-7.3779859412643853</v>
      </c>
    </row>
    <row r="353" spans="1:34" x14ac:dyDescent="0.2">
      <c r="A353" s="347">
        <f t="shared" ca="1" si="151"/>
        <v>0.01</v>
      </c>
      <c r="B353" s="304">
        <f t="shared" ca="1" si="152"/>
        <v>3.4899999999999696</v>
      </c>
      <c r="D353" s="306">
        <f t="shared" ca="1" si="153"/>
        <v>-0.94482610531229605</v>
      </c>
      <c r="E353" s="307">
        <f t="shared" ca="1" si="154"/>
        <v>-17.848086933137989</v>
      </c>
      <c r="F353" s="304">
        <f t="shared" ca="1" si="155"/>
        <v>17.873077618086107</v>
      </c>
      <c r="G353" s="306">
        <f t="shared" ca="1" si="156"/>
        <v>22.872289953348854</v>
      </c>
      <c r="H353" s="307">
        <f t="shared" ca="1" si="157"/>
        <v>194.48739459129132</v>
      </c>
      <c r="I353" s="304">
        <f t="shared" ca="1" si="158"/>
        <v>195.82770054979127</v>
      </c>
      <c r="J353" s="306">
        <f t="shared" ca="1" si="159"/>
        <v>47.089721964631089</v>
      </c>
      <c r="K353" s="307">
        <f t="shared" ca="1" si="160"/>
        <v>431.20304804816152</v>
      </c>
      <c r="L353" s="304">
        <f t="shared" ca="1" si="145"/>
        <v>433.76665450531272</v>
      </c>
      <c r="M353" s="306">
        <f t="shared" ca="1" si="161"/>
        <v>1.4537310961473677</v>
      </c>
      <c r="N353" s="304">
        <f t="shared" ca="1" si="162"/>
        <v>83.292656356171065</v>
      </c>
      <c r="P353" s="310">
        <f t="shared" ca="1" si="163"/>
        <v>10</v>
      </c>
      <c r="Q353" s="304">
        <f t="shared" ca="1" si="164"/>
        <v>58.625000000017017</v>
      </c>
      <c r="R353" s="306">
        <f t="shared" ca="1" si="165"/>
        <v>2.9421156060386408E-2</v>
      </c>
      <c r="S353" s="307">
        <f t="shared" ca="1" si="166"/>
        <v>7.4834010074314401</v>
      </c>
      <c r="T353" s="304">
        <f t="shared" ca="1" si="146"/>
        <v>73.412163882902433</v>
      </c>
      <c r="U353" s="311">
        <f t="shared" ca="1" si="147"/>
        <v>0</v>
      </c>
      <c r="V353" s="306">
        <f t="shared" ca="1" si="148"/>
        <v>1.1732924492878101</v>
      </c>
      <c r="W353" s="304">
        <f t="shared" ca="1" si="149"/>
        <v>118.95136445684992</v>
      </c>
      <c r="Y353" s="314" t="str">
        <f t="shared" ca="1" si="167"/>
        <v/>
      </c>
      <c r="Z353" s="315" t="str">
        <f t="shared" ca="1" si="168"/>
        <v/>
      </c>
      <c r="AA353" s="316" t="str">
        <f t="shared" ca="1" si="169"/>
        <v/>
      </c>
      <c r="AC353" s="310" t="e">
        <f t="shared" ca="1" si="170"/>
        <v>#N/A</v>
      </c>
      <c r="AD353" s="323" t="e">
        <f t="shared" ca="1" si="171"/>
        <v>#N/A</v>
      </c>
      <c r="AE353" s="324">
        <f t="shared" ca="1" si="150"/>
        <v>431.20304804816152</v>
      </c>
      <c r="AG353" s="306">
        <f t="shared" ca="1" si="172"/>
        <v>-17.836349883756391</v>
      </c>
      <c r="AH353" s="304">
        <f t="shared" ca="1" si="173"/>
        <v>-8.0934255982225025</v>
      </c>
    </row>
    <row r="354" spans="1:34" x14ac:dyDescent="0.2">
      <c r="A354" s="347">
        <f t="shared" ca="1" si="151"/>
        <v>0.01</v>
      </c>
      <c r="B354" s="304">
        <f t="shared" ca="1" si="152"/>
        <v>3.4999999999999694</v>
      </c>
      <c r="D354" s="306">
        <f t="shared" ca="1" si="153"/>
        <v>-1.028729690602908</v>
      </c>
      <c r="E354" s="307">
        <f t="shared" ca="1" si="154"/>
        <v>-18.557482550813447</v>
      </c>
      <c r="F354" s="304">
        <f t="shared" ca="1" si="155"/>
        <v>18.58597437316843</v>
      </c>
      <c r="G354" s="306">
        <f t="shared" ca="1" si="156"/>
        <v>22.862002656442826</v>
      </c>
      <c r="H354" s="307">
        <f t="shared" ca="1" si="157"/>
        <v>194.30181976578319</v>
      </c>
      <c r="I354" s="304">
        <f t="shared" ca="1" si="158"/>
        <v>195.64219465585154</v>
      </c>
      <c r="J354" s="306">
        <f t="shared" ca="1" si="159"/>
        <v>47.31839342768005</v>
      </c>
      <c r="K354" s="307">
        <f t="shared" ca="1" si="160"/>
        <v>433.1469941199469</v>
      </c>
      <c r="L354" s="304">
        <f t="shared" ca="1" si="145"/>
        <v>435.72393653748475</v>
      </c>
      <c r="M354" s="306">
        <f t="shared" ca="1" si="161"/>
        <v>1.4536725306271596</v>
      </c>
      <c r="N354" s="304">
        <f t="shared" ca="1" si="162"/>
        <v>83.289300799038145</v>
      </c>
      <c r="P354" s="310">
        <f t="shared" ca="1" si="163"/>
        <v>10</v>
      </c>
      <c r="Q354" s="304">
        <f t="shared" ca="1" si="164"/>
        <v>53.041666666683788</v>
      </c>
      <c r="R354" s="306">
        <f t="shared" ca="1" si="165"/>
        <v>2.661914119749333E-2</v>
      </c>
      <c r="S354" s="307">
        <f t="shared" ca="1" si="166"/>
        <v>7.4831348160194651</v>
      </c>
      <c r="T354" s="304">
        <f t="shared" ca="1" si="146"/>
        <v>73.409552545150959</v>
      </c>
      <c r="U354" s="311">
        <f t="shared" ca="1" si="147"/>
        <v>0</v>
      </c>
      <c r="V354" s="306">
        <f t="shared" ca="1" si="148"/>
        <v>1.1730642832012488</v>
      </c>
      <c r="W354" s="304">
        <f t="shared" ca="1" si="149"/>
        <v>118.70301974153273</v>
      </c>
      <c r="Y354" s="314" t="str">
        <f t="shared" ca="1" si="167"/>
        <v/>
      </c>
      <c r="Z354" s="315" t="str">
        <f t="shared" ca="1" si="168"/>
        <v/>
      </c>
      <c r="AA354" s="316" t="str">
        <f t="shared" ca="1" si="169"/>
        <v/>
      </c>
      <c r="AC354" s="310" t="e">
        <f t="shared" ca="1" si="170"/>
        <v>#N/A</v>
      </c>
      <c r="AD354" s="323" t="e">
        <f t="shared" ca="1" si="171"/>
        <v>#N/A</v>
      </c>
      <c r="AE354" s="324">
        <f t="shared" ca="1" si="150"/>
        <v>433.1469941199469</v>
      </c>
      <c r="AG354" s="306">
        <f t="shared" ca="1" si="172"/>
        <v>-18.55062294583032</v>
      </c>
      <c r="AH354" s="304">
        <f t="shared" ca="1" si="173"/>
        <v>-8.8077656504424358</v>
      </c>
    </row>
    <row r="355" spans="1:34" x14ac:dyDescent="0.2">
      <c r="A355" s="347">
        <f t="shared" ca="1" si="151"/>
        <v>0.01</v>
      </c>
      <c r="B355" s="304">
        <f t="shared" ca="1" si="152"/>
        <v>3.5099999999999691</v>
      </c>
      <c r="D355" s="306">
        <f t="shared" ca="1" si="153"/>
        <v>-1.1125882714188433</v>
      </c>
      <c r="E355" s="307">
        <f t="shared" ca="1" si="154"/>
        <v>-19.265773802293154</v>
      </c>
      <c r="F355" s="304">
        <f t="shared" ca="1" si="155"/>
        <v>19.297872754861455</v>
      </c>
      <c r="G355" s="306">
        <f t="shared" ca="1" si="156"/>
        <v>22.850876773728636</v>
      </c>
      <c r="H355" s="307">
        <f t="shared" ca="1" si="157"/>
        <v>194.10916202776025</v>
      </c>
      <c r="I355" s="304">
        <f t="shared" ca="1" si="158"/>
        <v>195.44955705359737</v>
      </c>
      <c r="J355" s="306">
        <f t="shared" ca="1" si="159"/>
        <v>47.546957824830905</v>
      </c>
      <c r="K355" s="307">
        <f t="shared" ca="1" si="160"/>
        <v>435.08904902891459</v>
      </c>
      <c r="L355" s="304">
        <f t="shared" ca="1" si="145"/>
        <v>437.67932757131848</v>
      </c>
      <c r="M355" s="306">
        <f t="shared" ca="1" si="161"/>
        <v>1.4536138781901167</v>
      </c>
      <c r="N355" s="304">
        <f t="shared" ca="1" si="162"/>
        <v>83.285940261937426</v>
      </c>
      <c r="P355" s="310">
        <f t="shared" ca="1" si="163"/>
        <v>10</v>
      </c>
      <c r="Q355" s="304">
        <f t="shared" ca="1" si="164"/>
        <v>47.458333333350552</v>
      </c>
      <c r="R355" s="306">
        <f t="shared" ca="1" si="165"/>
        <v>2.3817126334600251E-2</v>
      </c>
      <c r="S355" s="307">
        <f t="shared" ca="1" si="166"/>
        <v>7.4828966447561189</v>
      </c>
      <c r="T355" s="304">
        <f t="shared" ca="1" si="146"/>
        <v>73.407216085057527</v>
      </c>
      <c r="U355" s="311">
        <f t="shared" ca="1" si="147"/>
        <v>0</v>
      </c>
      <c r="V355" s="306">
        <f t="shared" ca="1" si="148"/>
        <v>1.172836382432036</v>
      </c>
      <c r="W355" s="304">
        <f t="shared" ca="1" si="149"/>
        <v>118.44635875942748</v>
      </c>
      <c r="Y355" s="314" t="str">
        <f t="shared" ca="1" si="167"/>
        <v/>
      </c>
      <c r="Z355" s="315" t="str">
        <f t="shared" ca="1" si="168"/>
        <v/>
      </c>
      <c r="AA355" s="316" t="str">
        <f t="shared" ca="1" si="169"/>
        <v/>
      </c>
      <c r="AC355" s="310" t="e">
        <f t="shared" ca="1" si="170"/>
        <v>#N/A</v>
      </c>
      <c r="AD355" s="323" t="e">
        <f t="shared" ca="1" si="171"/>
        <v>#N/A</v>
      </c>
      <c r="AE355" s="324">
        <f t="shared" ca="1" si="150"/>
        <v>435.08904902891459</v>
      </c>
      <c r="AG355" s="306">
        <f t="shared" ca="1" si="172"/>
        <v>-19.263793843796435</v>
      </c>
      <c r="AH355" s="304">
        <f t="shared" ca="1" si="173"/>
        <v>-9.5210036688277917</v>
      </c>
    </row>
    <row r="356" spans="1:34" x14ac:dyDescent="0.2">
      <c r="A356" s="347">
        <f t="shared" ca="1" si="151"/>
        <v>0.01</v>
      </c>
      <c r="B356" s="304">
        <f t="shared" ca="1" si="152"/>
        <v>3.5199999999999689</v>
      </c>
      <c r="D356" s="306">
        <f t="shared" ca="1" si="153"/>
        <v>-1.1964015907436947</v>
      </c>
      <c r="E356" s="307">
        <f t="shared" ca="1" si="154"/>
        <v>-19.972958407571149</v>
      </c>
      <c r="F356" s="304">
        <f t="shared" ca="1" si="155"/>
        <v>20.008759189837363</v>
      </c>
      <c r="G356" s="306">
        <f t="shared" ca="1" si="156"/>
        <v>22.838912757821198</v>
      </c>
      <c r="H356" s="307">
        <f t="shared" ca="1" si="157"/>
        <v>193.90943244368455</v>
      </c>
      <c r="I356" s="304">
        <f t="shared" ca="1" si="158"/>
        <v>195.24979878758194</v>
      </c>
      <c r="J356" s="306">
        <f t="shared" ca="1" si="159"/>
        <v>47.775406772488651</v>
      </c>
      <c r="K356" s="307">
        <f t="shared" ca="1" si="160"/>
        <v>437.02914200127179</v>
      </c>
      <c r="L356" s="304">
        <f t="shared" ca="1" si="145"/>
        <v>439.63275634402464</v>
      </c>
      <c r="M356" s="306">
        <f t="shared" ca="1" si="161"/>
        <v>1.4535551364793671</v>
      </c>
      <c r="N356" s="304">
        <f t="shared" ca="1" si="162"/>
        <v>83.282574609830093</v>
      </c>
      <c r="P356" s="310">
        <f t="shared" ca="1" si="163"/>
        <v>10</v>
      </c>
      <c r="Q356" s="304">
        <f t="shared" ca="1" si="164"/>
        <v>41.875000000017323</v>
      </c>
      <c r="R356" s="306">
        <f t="shared" ca="1" si="165"/>
        <v>2.1015111471707173E-2</v>
      </c>
      <c r="S356" s="307">
        <f t="shared" ca="1" si="166"/>
        <v>7.4826864936414017</v>
      </c>
      <c r="T356" s="304">
        <f t="shared" ca="1" si="146"/>
        <v>73.405154502622153</v>
      </c>
      <c r="U356" s="311">
        <f t="shared" ca="1" si="147"/>
        <v>0</v>
      </c>
      <c r="V356" s="306">
        <f t="shared" ca="1" si="148"/>
        <v>1.172608755144229</v>
      </c>
      <c r="W356" s="304">
        <f t="shared" ca="1" si="149"/>
        <v>118.1814260133295</v>
      </c>
      <c r="Y356" s="314" t="str">
        <f t="shared" ca="1" si="167"/>
        <v/>
      </c>
      <c r="Z356" s="315" t="str">
        <f t="shared" ca="1" si="168"/>
        <v/>
      </c>
      <c r="AA356" s="316" t="str">
        <f t="shared" ca="1" si="169"/>
        <v/>
      </c>
      <c r="AC356" s="310" t="e">
        <f t="shared" ca="1" si="170"/>
        <v>#N/A</v>
      </c>
      <c r="AD356" s="323" t="e">
        <f t="shared" ca="1" si="171"/>
        <v>#N/A</v>
      </c>
      <c r="AE356" s="324">
        <f t="shared" ca="1" si="150"/>
        <v>437.02914200127179</v>
      </c>
      <c r="AG356" s="306">
        <f t="shared" ca="1" si="172"/>
        <v>-19.975860287881176</v>
      </c>
      <c r="AH356" s="304">
        <f t="shared" ca="1" si="173"/>
        <v>-10.233137366436315</v>
      </c>
    </row>
    <row r="357" spans="1:34" x14ac:dyDescent="0.2">
      <c r="A357" s="347">
        <f t="shared" ca="1" si="151"/>
        <v>0.01</v>
      </c>
      <c r="B357" s="304">
        <f t="shared" ca="1" si="152"/>
        <v>3.5299999999999687</v>
      </c>
      <c r="D357" s="306">
        <f t="shared" ca="1" si="153"/>
        <v>-1.2801694137545041</v>
      </c>
      <c r="E357" s="307">
        <f t="shared" ca="1" si="154"/>
        <v>-20.679034226153835</v>
      </c>
      <c r="F357" s="304">
        <f t="shared" ca="1" si="155"/>
        <v>20.71862182323801</v>
      </c>
      <c r="G357" s="306">
        <f t="shared" ca="1" si="156"/>
        <v>22.826111063683655</v>
      </c>
      <c r="H357" s="307">
        <f t="shared" ca="1" si="157"/>
        <v>193.70264210142301</v>
      </c>
      <c r="I357" s="304">
        <f t="shared" ca="1" si="158"/>
        <v>195.04293092384455</v>
      </c>
      <c r="J357" s="306">
        <f t="shared" ca="1" si="159"/>
        <v>48.003731891596175</v>
      </c>
      <c r="K357" s="307">
        <f t="shared" ca="1" si="160"/>
        <v>438.96720237399734</v>
      </c>
      <c r="L357" s="304">
        <f t="shared" ca="1" si="145"/>
        <v>441.58415170335786</v>
      </c>
      <c r="M357" s="306">
        <f t="shared" ca="1" si="161"/>
        <v>1.4534963031231809</v>
      </c>
      <c r="N357" s="304">
        <f t="shared" ca="1" si="162"/>
        <v>83.279203706826038</v>
      </c>
      <c r="P357" s="310">
        <f t="shared" ca="1" si="163"/>
        <v>10</v>
      </c>
      <c r="Q357" s="304">
        <f t="shared" ca="1" si="164"/>
        <v>36.291666666684094</v>
      </c>
      <c r="R357" s="306">
        <f t="shared" ca="1" si="165"/>
        <v>1.8213096608814094E-2</v>
      </c>
      <c r="S357" s="307">
        <f t="shared" ca="1" si="166"/>
        <v>7.4825043626753134</v>
      </c>
      <c r="T357" s="304">
        <f t="shared" ca="1" si="146"/>
        <v>73.403367797844822</v>
      </c>
      <c r="U357" s="311">
        <f t="shared" ca="1" si="147"/>
        <v>0</v>
      </c>
      <c r="V357" s="306">
        <f t="shared" ca="1" si="148"/>
        <v>1.1723814094827953</v>
      </c>
      <c r="W357" s="304">
        <f t="shared" ca="1" si="149"/>
        <v>117.90826687068237</v>
      </c>
      <c r="Y357" s="314" t="str">
        <f t="shared" ca="1" si="167"/>
        <v/>
      </c>
      <c r="Z357" s="315" t="str">
        <f t="shared" ca="1" si="168"/>
        <v/>
      </c>
      <c r="AA357" s="316" t="str">
        <f t="shared" ca="1" si="169"/>
        <v/>
      </c>
      <c r="AC357" s="310" t="e">
        <f t="shared" ca="1" si="170"/>
        <v>#N/A</v>
      </c>
      <c r="AD357" s="323" t="e">
        <f t="shared" ca="1" si="171"/>
        <v>#N/A</v>
      </c>
      <c r="AE357" s="324">
        <f t="shared" ca="1" si="150"/>
        <v>438.96720237399734</v>
      </c>
      <c r="AG357" s="306">
        <f t="shared" ca="1" si="172"/>
        <v>-20.686820129465239</v>
      </c>
      <c r="AH357" s="304">
        <f t="shared" ca="1" si="173"/>
        <v>-10.944164597501997</v>
      </c>
    </row>
    <row r="358" spans="1:34" x14ac:dyDescent="0.2">
      <c r="A358" s="347">
        <f t="shared" ca="1" si="151"/>
        <v>0.01</v>
      </c>
      <c r="B358" s="304">
        <f t="shared" ca="1" si="152"/>
        <v>3.5399999999999685</v>
      </c>
      <c r="D358" s="306">
        <f t="shared" ca="1" si="153"/>
        <v>-1.3638915277770323</v>
      </c>
      <c r="E358" s="307">
        <f t="shared" ca="1" si="154"/>
        <v>-21.383999256074894</v>
      </c>
      <c r="F358" s="304">
        <f t="shared" ca="1" si="155"/>
        <v>21.427450251566412</v>
      </c>
      <c r="G358" s="306">
        <f t="shared" ca="1" si="156"/>
        <v>22.812472148405885</v>
      </c>
      <c r="H358" s="307">
        <f t="shared" ca="1" si="157"/>
        <v>193.48880210886227</v>
      </c>
      <c r="I358" s="304">
        <f t="shared" ca="1" si="158"/>
        <v>194.82896454850919</v>
      </c>
      <c r="J358" s="306">
        <f t="shared" ca="1" si="159"/>
        <v>48.231924807656625</v>
      </c>
      <c r="K358" s="307">
        <f t="shared" ca="1" si="160"/>
        <v>440.90315959504875</v>
      </c>
      <c r="L358" s="304">
        <f t="shared" ca="1" si="145"/>
        <v>443.53344260782461</v>
      </c>
      <c r="M358" s="306">
        <f t="shared" ca="1" si="161"/>
        <v>1.4534373757344088</v>
      </c>
      <c r="N358" s="304">
        <f t="shared" ca="1" si="162"/>
        <v>83.275827416151671</v>
      </c>
      <c r="P358" s="310">
        <f t="shared" ca="1" si="163"/>
        <v>10</v>
      </c>
      <c r="Q358" s="304">
        <f t="shared" ca="1" si="164"/>
        <v>30.708333333350872</v>
      </c>
      <c r="R358" s="306">
        <f t="shared" ca="1" si="165"/>
        <v>1.5411081745921019E-2</v>
      </c>
      <c r="S358" s="307">
        <f t="shared" ca="1" si="166"/>
        <v>7.482350251857854</v>
      </c>
      <c r="T358" s="304">
        <f t="shared" ca="1" si="146"/>
        <v>73.401855970725549</v>
      </c>
      <c r="U358" s="311">
        <f t="shared" ca="1" si="147"/>
        <v>0</v>
      </c>
      <c r="V358" s="306">
        <f t="shared" ca="1" si="148"/>
        <v>1.1721543535736185</v>
      </c>
      <c r="W358" s="304">
        <f t="shared" ca="1" si="149"/>
        <v>117.62692755551744</v>
      </c>
      <c r="Y358" s="314" t="str">
        <f t="shared" ca="1" si="167"/>
        <v/>
      </c>
      <c r="Z358" s="315" t="str">
        <f t="shared" ca="1" si="168"/>
        <v/>
      </c>
      <c r="AA358" s="316" t="str">
        <f t="shared" ca="1" si="169"/>
        <v/>
      </c>
      <c r="AC358" s="310" t="e">
        <f t="shared" ca="1" si="170"/>
        <v>#N/A</v>
      </c>
      <c r="AD358" s="323" t="e">
        <f t="shared" ca="1" si="171"/>
        <v>#N/A</v>
      </c>
      <c r="AE358" s="324">
        <f t="shared" ca="1" si="150"/>
        <v>440.90315959504875</v>
      </c>
      <c r="AG358" s="306">
        <f t="shared" ca="1" si="172"/>
        <v>-21.396671360101227</v>
      </c>
      <c r="AH358" s="304">
        <f t="shared" ca="1" si="173"/>
        <v>-11.654083356453398</v>
      </c>
    </row>
    <row r="359" spans="1:34" x14ac:dyDescent="0.2">
      <c r="A359" s="347">
        <f t="shared" ca="1" si="151"/>
        <v>0.01</v>
      </c>
      <c r="B359" s="304">
        <f t="shared" ca="1" si="152"/>
        <v>3.5499999999999683</v>
      </c>
      <c r="D359" s="306">
        <f t="shared" ca="1" si="153"/>
        <v>-1.4475677422425441</v>
      </c>
      <c r="E359" s="307">
        <f t="shared" ca="1" si="154"/>
        <v>-22.087851632906553</v>
      </c>
      <c r="F359" s="304">
        <f t="shared" ca="1" si="155"/>
        <v>22.135235307664427</v>
      </c>
      <c r="G359" s="306">
        <f t="shared" ca="1" si="156"/>
        <v>22.79799647098346</v>
      </c>
      <c r="H359" s="307">
        <f t="shared" ca="1" si="157"/>
        <v>193.26792359253321</v>
      </c>
      <c r="I359" s="304">
        <f t="shared" ca="1" si="158"/>
        <v>194.60791076639262</v>
      </c>
      <c r="J359" s="306">
        <f t="shared" ca="1" si="159"/>
        <v>48.459977150753573</v>
      </c>
      <c r="K359" s="307">
        <f t="shared" ca="1" si="160"/>
        <v>442.83694322355575</v>
      </c>
      <c r="L359" s="304">
        <f t="shared" ca="1" si="145"/>
        <v>445.4805581268775</v>
      </c>
      <c r="M359" s="306">
        <f t="shared" ca="1" si="161"/>
        <v>1.4533783519099115</v>
      </c>
      <c r="N359" s="304">
        <f t="shared" ca="1" si="162"/>
        <v>83.272445600117251</v>
      </c>
      <c r="P359" s="310">
        <f t="shared" ca="1" si="163"/>
        <v>10</v>
      </c>
      <c r="Q359" s="304">
        <f t="shared" ca="1" si="164"/>
        <v>25.125000000017643</v>
      </c>
      <c r="R359" s="306">
        <f t="shared" ca="1" si="165"/>
        <v>1.2609066883027941E-2</v>
      </c>
      <c r="S359" s="307">
        <f t="shared" ca="1" si="166"/>
        <v>7.4822241611890234</v>
      </c>
      <c r="T359" s="304">
        <f t="shared" ca="1" si="146"/>
        <v>73.400619021264319</v>
      </c>
      <c r="U359" s="311">
        <f t="shared" ca="1" si="147"/>
        <v>0</v>
      </c>
      <c r="V359" s="306">
        <f t="shared" ca="1" si="148"/>
        <v>1.1719275955235091</v>
      </c>
      <c r="W359" s="304">
        <f t="shared" ca="1" si="149"/>
        <v>117.33745514042943</v>
      </c>
      <c r="Y359" s="314" t="str">
        <f t="shared" ca="1" si="167"/>
        <v/>
      </c>
      <c r="Z359" s="315" t="str">
        <f t="shared" ca="1" si="168"/>
        <v/>
      </c>
      <c r="AA359" s="316" t="str">
        <f t="shared" ca="1" si="169"/>
        <v/>
      </c>
      <c r="AC359" s="310" t="e">
        <f t="shared" ca="1" si="170"/>
        <v>#N/A</v>
      </c>
      <c r="AD359" s="323" t="e">
        <f t="shared" ca="1" si="171"/>
        <v>#N/A</v>
      </c>
      <c r="AE359" s="324">
        <f t="shared" ca="1" si="150"/>
        <v>442.83694322355575</v>
      </c>
      <c r="AG359" s="306">
        <f t="shared" ca="1" si="172"/>
        <v>-22.105412110527791</v>
      </c>
      <c r="AH359" s="304">
        <f t="shared" ca="1" si="173"/>
        <v>-12.362891776928539</v>
      </c>
    </row>
    <row r="360" spans="1:34" x14ac:dyDescent="0.2">
      <c r="A360" s="347">
        <f t="shared" ca="1" si="151"/>
        <v>0.01</v>
      </c>
      <c r="B360" s="304">
        <f t="shared" ca="1" si="152"/>
        <v>3.5599999999999681</v>
      </c>
      <c r="D360" s="306">
        <f t="shared" ca="1" si="153"/>
        <v>-1.5311978886462199</v>
      </c>
      <c r="E360" s="307">
        <f t="shared" ca="1" si="154"/>
        <v>-22.790589628767492</v>
      </c>
      <c r="F360" s="304">
        <f t="shared" ca="1" si="155"/>
        <v>22.841968886264578</v>
      </c>
      <c r="G360" s="306">
        <f t="shared" ca="1" si="156"/>
        <v>22.782684492096998</v>
      </c>
      <c r="H360" s="307">
        <f t="shared" ca="1" si="157"/>
        <v>193.04001769624554</v>
      </c>
      <c r="I360" s="304">
        <f t="shared" ca="1" si="158"/>
        <v>194.37978069962222</v>
      </c>
      <c r="J360" s="306">
        <f t="shared" ca="1" si="159"/>
        <v>48.687880555568974</v>
      </c>
      <c r="K360" s="307">
        <f t="shared" ca="1" si="160"/>
        <v>444.76848292999966</v>
      </c>
      <c r="L360" s="304">
        <f t="shared" ca="1" si="145"/>
        <v>447.42542744109517</v>
      </c>
      <c r="M360" s="306">
        <f t="shared" ca="1" si="161"/>
        <v>1.4533192292299826</v>
      </c>
      <c r="N360" s="304">
        <f t="shared" ca="1" si="162"/>
        <v>83.269058120083827</v>
      </c>
      <c r="P360" s="310">
        <f t="shared" ca="1" si="163"/>
        <v>10</v>
      </c>
      <c r="Q360" s="304">
        <f t="shared" ca="1" si="164"/>
        <v>19.541666666684407</v>
      </c>
      <c r="R360" s="306">
        <f t="shared" ca="1" si="165"/>
        <v>9.8070520201348592E-3</v>
      </c>
      <c r="S360" s="307">
        <f t="shared" ca="1" si="166"/>
        <v>7.4821260906688218</v>
      </c>
      <c r="T360" s="304">
        <f t="shared" ca="1" si="146"/>
        <v>73.399656949461146</v>
      </c>
      <c r="U360" s="311">
        <f t="shared" ca="1" si="147"/>
        <v>0</v>
      </c>
      <c r="V360" s="306">
        <f t="shared" ca="1" si="148"/>
        <v>1.17170114342022</v>
      </c>
      <c r="W360" s="304">
        <f t="shared" ca="1" si="149"/>
        <v>117.03989753858875</v>
      </c>
      <c r="Y360" s="314" t="str">
        <f t="shared" ca="1" si="167"/>
        <v/>
      </c>
      <c r="Z360" s="315" t="str">
        <f t="shared" ca="1" si="168"/>
        <v/>
      </c>
      <c r="AA360" s="316" t="str">
        <f t="shared" ca="1" si="169"/>
        <v/>
      </c>
      <c r="AC360" s="310" t="e">
        <f t="shared" ca="1" si="170"/>
        <v>#N/A</v>
      </c>
      <c r="AD360" s="323" t="e">
        <f t="shared" ca="1" si="171"/>
        <v>#N/A</v>
      </c>
      <c r="AE360" s="324">
        <f t="shared" ca="1" si="150"/>
        <v>444.76848292999966</v>
      </c>
      <c r="AG360" s="306">
        <f t="shared" ca="1" si="172"/>
        <v>-22.813040649680701</v>
      </c>
      <c r="AH360" s="304">
        <f t="shared" ca="1" si="173"/>
        <v>-13.07058813078665</v>
      </c>
    </row>
    <row r="361" spans="1:34" x14ac:dyDescent="0.2">
      <c r="A361" s="347">
        <f t="shared" ca="1" si="151"/>
        <v>0.01</v>
      </c>
      <c r="B361" s="304">
        <f t="shared" ca="1" si="152"/>
        <v>3.5699999999999679</v>
      </c>
      <c r="D361" s="306">
        <f t="shared" ca="1" si="153"/>
        <v>-1.6147818205072135</v>
      </c>
      <c r="E361" s="307">
        <f t="shared" ca="1" si="154"/>
        <v>-23.492211651327509</v>
      </c>
      <c r="F361" s="304">
        <f t="shared" ca="1" si="155"/>
        <v>23.547643801421163</v>
      </c>
      <c r="G361" s="306">
        <f t="shared" ca="1" si="156"/>
        <v>22.766536673891924</v>
      </c>
      <c r="H361" s="307">
        <f t="shared" ca="1" si="157"/>
        <v>192.80509557973227</v>
      </c>
      <c r="I361" s="304">
        <f t="shared" ca="1" si="158"/>
        <v>194.14458548626422</v>
      </c>
      <c r="J361" s="306">
        <f t="shared" ca="1" si="159"/>
        <v>48.915626661398917</v>
      </c>
      <c r="K361" s="307">
        <f t="shared" ca="1" si="160"/>
        <v>446.69770849637956</v>
      </c>
      <c r="L361" s="304">
        <f t="shared" ca="1" si="145"/>
        <v>449.36797984234909</v>
      </c>
      <c r="M361" s="306">
        <f t="shared" ca="1" si="161"/>
        <v>1.4532600052577604</v>
      </c>
      <c r="N361" s="304">
        <f t="shared" ca="1" si="162"/>
        <v>83.265664836429494</v>
      </c>
      <c r="P361" s="310">
        <f t="shared" ca="1" si="163"/>
        <v>10</v>
      </c>
      <c r="Q361" s="304">
        <f t="shared" ca="1" si="164"/>
        <v>13.958333333351177</v>
      </c>
      <c r="R361" s="306">
        <f t="shared" ca="1" si="165"/>
        <v>7.0050371572417808E-3</v>
      </c>
      <c r="S361" s="307">
        <f t="shared" ca="1" si="166"/>
        <v>7.4820560402972491</v>
      </c>
      <c r="T361" s="304">
        <f t="shared" ca="1" si="146"/>
        <v>73.398969755316017</v>
      </c>
      <c r="U361" s="311">
        <f t="shared" ca="1" si="147"/>
        <v>0</v>
      </c>
      <c r="V361" s="306">
        <f t="shared" ca="1" si="148"/>
        <v>1.1714750053324572</v>
      </c>
      <c r="W361" s="304">
        <f t="shared" ca="1" si="149"/>
        <v>116.73430349579269</v>
      </c>
      <c r="Y361" s="314" t="str">
        <f t="shared" ca="1" si="167"/>
        <v/>
      </c>
      <c r="Z361" s="315" t="str">
        <f t="shared" ca="1" si="168"/>
        <v/>
      </c>
      <c r="AA361" s="316" t="str">
        <f t="shared" ca="1" si="169"/>
        <v/>
      </c>
      <c r="AC361" s="310" t="e">
        <f t="shared" ca="1" si="170"/>
        <v>#N/A</v>
      </c>
      <c r="AD361" s="323" t="e">
        <f t="shared" ca="1" si="171"/>
        <v>#N/A</v>
      </c>
      <c r="AE361" s="324">
        <f t="shared" ca="1" si="150"/>
        <v>446.69770849637956</v>
      </c>
      <c r="AG361" s="306">
        <f t="shared" ca="1" si="172"/>
        <v>-23.51955538370089</v>
      </c>
      <c r="AH361" s="304">
        <f t="shared" ca="1" si="173"/>
        <v>-13.777170827116969</v>
      </c>
    </row>
    <row r="362" spans="1:34" x14ac:dyDescent="0.2">
      <c r="A362" s="347">
        <f t="shared" ca="1" si="151"/>
        <v>0.01</v>
      </c>
      <c r="B362" s="304">
        <f t="shared" ca="1" si="152"/>
        <v>3.5799999999999677</v>
      </c>
      <c r="D362" s="306">
        <f t="shared" ca="1" si="153"/>
        <v>-1.6983194133304891</v>
      </c>
      <c r="E362" s="307">
        <f t="shared" ca="1" si="154"/>
        <v>-24.192716242809333</v>
      </c>
      <c r="F362" s="304">
        <f t="shared" ca="1" si="155"/>
        <v>24.252253669190946</v>
      </c>
      <c r="G362" s="306">
        <f t="shared" ca="1" si="156"/>
        <v>22.749553479758617</v>
      </c>
      <c r="H362" s="307">
        <f t="shared" ca="1" si="157"/>
        <v>192.56316841730418</v>
      </c>
      <c r="I362" s="304">
        <f t="shared" ca="1" si="158"/>
        <v>193.90233627896146</v>
      </c>
      <c r="J362" s="306">
        <f t="shared" ca="1" si="159"/>
        <v>49.143207112167168</v>
      </c>
      <c r="K362" s="307">
        <f t="shared" ca="1" si="160"/>
        <v>448.62454981636472</v>
      </c>
      <c r="L362" s="304">
        <f t="shared" ca="1" si="145"/>
        <v>451.30814473395588</v>
      </c>
      <c r="M362" s="306">
        <f t="shared" ca="1" si="161"/>
        <v>1.453200677538633</v>
      </c>
      <c r="N362" s="304">
        <f t="shared" ca="1" si="162"/>
        <v>83.262265608515364</v>
      </c>
      <c r="P362" s="310">
        <f t="shared" ca="1" si="163"/>
        <v>10</v>
      </c>
      <c r="Q362" s="304">
        <f t="shared" ca="1" si="164"/>
        <v>8.3750000000179483</v>
      </c>
      <c r="R362" s="306">
        <f t="shared" ca="1" si="165"/>
        <v>4.2030222943487032E-3</v>
      </c>
      <c r="S362" s="307">
        <f t="shared" ca="1" si="166"/>
        <v>7.4820140100743053</v>
      </c>
      <c r="T362" s="304">
        <f t="shared" ca="1" si="146"/>
        <v>73.398557438828945</v>
      </c>
      <c r="U362" s="311">
        <f t="shared" ca="1" si="147"/>
        <v>0</v>
      </c>
      <c r="V362" s="306">
        <f t="shared" ca="1" si="148"/>
        <v>1.1712491893099009</v>
      </c>
      <c r="W362" s="304">
        <f t="shared" ca="1" si="149"/>
        <v>116.42072258255644</v>
      </c>
      <c r="Y362" s="314" t="str">
        <f t="shared" ca="1" si="167"/>
        <v/>
      </c>
      <c r="Z362" s="315" t="str">
        <f t="shared" ca="1" si="168"/>
        <v/>
      </c>
      <c r="AA362" s="316" t="str">
        <f t="shared" ca="1" si="169"/>
        <v/>
      </c>
      <c r="AC362" s="310" t="e">
        <f t="shared" ca="1" si="170"/>
        <v>#N/A</v>
      </c>
      <c r="AD362" s="323" t="e">
        <f t="shared" ca="1" si="171"/>
        <v>#N/A</v>
      </c>
      <c r="AE362" s="324">
        <f t="shared" ca="1" si="150"/>
        <v>448.62454981636472</v>
      </c>
      <c r="AG362" s="306">
        <f t="shared" ca="1" si="172"/>
        <v>-24.224954854939874</v>
      </c>
      <c r="AH362" s="304">
        <f t="shared" ca="1" si="173"/>
        <v>-14.482638411244915</v>
      </c>
    </row>
    <row r="363" spans="1:34" x14ac:dyDescent="0.2">
      <c r="A363" s="347">
        <f t="shared" ca="1" si="151"/>
        <v>0.01</v>
      </c>
      <c r="B363" s="304">
        <f t="shared" ca="1" si="152"/>
        <v>3.5899999999999674</v>
      </c>
      <c r="D363" s="306">
        <f t="shared" ca="1" si="153"/>
        <v>-1.7818105645704505</v>
      </c>
      <c r="E363" s="307">
        <f t="shared" ca="1" si="154"/>
        <v>-24.89210207898779</v>
      </c>
      <c r="F363" s="304">
        <f t="shared" ca="1" si="155"/>
        <v>24.955792810463127</v>
      </c>
      <c r="G363" s="306">
        <f t="shared" ca="1" si="156"/>
        <v>22.731735374112912</v>
      </c>
      <c r="H363" s="307">
        <f t="shared" ca="1" si="157"/>
        <v>192.3142473965143</v>
      </c>
      <c r="I363" s="304">
        <f t="shared" ca="1" si="158"/>
        <v>193.65304424358118</v>
      </c>
      <c r="J363" s="306">
        <f t="shared" ca="1" si="159"/>
        <v>49.370613556436524</v>
      </c>
      <c r="K363" s="307">
        <f t="shared" ca="1" si="160"/>
        <v>450.54893689543383</v>
      </c>
      <c r="L363" s="304">
        <f t="shared" ca="1" si="145"/>
        <v>453.24585163081707</v>
      </c>
      <c r="M363" s="306">
        <f t="shared" ca="1" si="161"/>
        <v>1.4531412435996327</v>
      </c>
      <c r="N363" s="304">
        <f t="shared" ca="1" si="162"/>
        <v>83.258860294650802</v>
      </c>
      <c r="P363" s="310">
        <f t="shared" ca="1" si="163"/>
        <v>10</v>
      </c>
      <c r="Q363" s="304">
        <f t="shared" ca="1" si="164"/>
        <v>2.7916666666847192</v>
      </c>
      <c r="R363" s="306">
        <f t="shared" ca="1" si="165"/>
        <v>1.4010074314556248E-3</v>
      </c>
      <c r="S363" s="307">
        <f t="shared" ca="1" si="166"/>
        <v>7.4819999999999904</v>
      </c>
      <c r="T363" s="304">
        <f t="shared" ca="1" si="146"/>
        <v>73.398419999999916</v>
      </c>
      <c r="U363" s="311">
        <f t="shared" ca="1" si="147"/>
        <v>0</v>
      </c>
      <c r="V363" s="306">
        <f t="shared" ca="1" si="148"/>
        <v>1.1710237033832216</v>
      </c>
      <c r="W363" s="304">
        <f t="shared" ca="1" si="149"/>
        <v>116.09920518624502</v>
      </c>
      <c r="Y363" s="314" t="str">
        <f t="shared" ca="1" si="167"/>
        <v/>
      </c>
      <c r="Z363" s="315" t="str">
        <f t="shared" ca="1" si="168"/>
        <v/>
      </c>
      <c r="AA363" s="316" t="str">
        <f t="shared" ca="1" si="169"/>
        <v/>
      </c>
      <c r="AC363" s="310" t="e">
        <f t="shared" ca="1" si="170"/>
        <v>#N/A</v>
      </c>
      <c r="AD363" s="323" t="e">
        <f t="shared" ca="1" si="171"/>
        <v>#N/A</v>
      </c>
      <c r="AE363" s="324">
        <f t="shared" ca="1" si="150"/>
        <v>450.54893689543383</v>
      </c>
      <c r="AG363" s="306">
        <f t="shared" ca="1" si="172"/>
        <v>-24.929237740962805</v>
      </c>
      <c r="AH363" s="304">
        <f t="shared" ca="1" si="173"/>
        <v>-15.186989563735882</v>
      </c>
    </row>
    <row r="364" spans="1:34" x14ac:dyDescent="0.2">
      <c r="A364" s="347">
        <f t="shared" ca="1" si="151"/>
        <v>0.01</v>
      </c>
      <c r="B364" s="304">
        <f t="shared" ca="1" si="152"/>
        <v>3.5999999999999672</v>
      </c>
      <c r="D364" s="306">
        <f t="shared" ca="1" si="153"/>
        <v>-1.8214607023273883</v>
      </c>
      <c r="E364" s="307">
        <f t="shared" ca="1" si="154"/>
        <v>-25.219859316299029</v>
      </c>
      <c r="F364" s="304">
        <f t="shared" ca="1" si="155"/>
        <v>25.285549687994482</v>
      </c>
      <c r="G364" s="306">
        <f t="shared" ca="1" si="156"/>
        <v>22.713520767089637</v>
      </c>
      <c r="H364" s="307">
        <f t="shared" ca="1" si="157"/>
        <v>192.0620488033513</v>
      </c>
      <c r="I364" s="304">
        <f t="shared" ca="1" si="158"/>
        <v>193.40045143736845</v>
      </c>
      <c r="J364" s="306">
        <f t="shared" ca="1" si="159"/>
        <v>49.597839837142537</v>
      </c>
      <c r="K364" s="307">
        <f t="shared" ca="1" si="160"/>
        <v>452.47081837643316</v>
      </c>
      <c r="L364" s="304">
        <f t="shared" ca="1" si="145"/>
        <v>455.18104881327167</v>
      </c>
      <c r="M364" s="306">
        <f t="shared" ca="1" si="161"/>
        <v>1.4530817020974554</v>
      </c>
      <c r="N364" s="304">
        <f t="shared" ca="1" si="162"/>
        <v>83.255448817870175</v>
      </c>
      <c r="P364" s="310">
        <f t="shared" ca="1" si="163"/>
        <v>23</v>
      </c>
      <c r="Q364" s="304">
        <f t="shared" ca="1" si="164"/>
        <v>0</v>
      </c>
      <c r="R364" s="306">
        <f t="shared" ca="1" si="165"/>
        <v>0</v>
      </c>
      <c r="S364" s="307">
        <f t="shared" ca="1" si="166"/>
        <v>7.4819999999999904</v>
      </c>
      <c r="T364" s="304">
        <f t="shared" ca="1" si="146"/>
        <v>73.398419999999916</v>
      </c>
      <c r="U364" s="311">
        <f t="shared" ca="1" si="147"/>
        <v>0</v>
      </c>
      <c r="V364" s="306">
        <f t="shared" ca="1" si="148"/>
        <v>1.1707985533940362</v>
      </c>
      <c r="W364" s="304">
        <f t="shared" ca="1" si="149"/>
        <v>115.77426903812122</v>
      </c>
      <c r="Y364" s="314" t="str">
        <f t="shared" ca="1" si="167"/>
        <v>Fin de propulsion</v>
      </c>
      <c r="Z364" s="315" t="str">
        <f t="shared" ca="1" si="168"/>
        <v/>
      </c>
      <c r="AA364" s="316" t="str">
        <f t="shared" ca="1" si="169"/>
        <v/>
      </c>
      <c r="AC364" s="310" t="e">
        <f t="shared" ca="1" si="170"/>
        <v>#N/A</v>
      </c>
      <c r="AD364" s="323" t="e">
        <f t="shared" ca="1" si="171"/>
        <v>#N/A</v>
      </c>
      <c r="AE364" s="324">
        <f t="shared" ca="1" si="150"/>
        <v>452.47081837643316</v>
      </c>
      <c r="AG364" s="306">
        <f t="shared" ca="1" si="172"/>
        <v>-25.259314903343199</v>
      </c>
      <c r="AH364" s="304">
        <f t="shared" ca="1" si="173"/>
        <v>-15.517135149190747</v>
      </c>
    </row>
    <row r="365" spans="1:34" x14ac:dyDescent="0.2">
      <c r="A365" s="347">
        <f t="shared" ca="1" si="151"/>
        <v>0.01</v>
      </c>
      <c r="B365" s="304">
        <f t="shared" ca="1" si="152"/>
        <v>3.609999999999967</v>
      </c>
      <c r="D365" s="306">
        <f t="shared" ca="1" si="153"/>
        <v>-1.8172777893111616</v>
      </c>
      <c r="E365" s="307">
        <f t="shared" ca="1" si="154"/>
        <v>-25.176622332088982</v>
      </c>
      <c r="F365" s="304">
        <f t="shared" ca="1" si="155"/>
        <v>25.242123734269374</v>
      </c>
      <c r="G365" s="306">
        <f t="shared" ca="1" si="156"/>
        <v>22.695347989196524</v>
      </c>
      <c r="H365" s="307">
        <f t="shared" ca="1" si="157"/>
        <v>191.81028258003042</v>
      </c>
      <c r="I365" s="304">
        <f t="shared" ca="1" si="158"/>
        <v>193.14829360825803</v>
      </c>
      <c r="J365" s="306">
        <f t="shared" ca="1" si="159"/>
        <v>49.824884180923966</v>
      </c>
      <c r="K365" s="307">
        <f t="shared" ca="1" si="160"/>
        <v>454.39018003335008</v>
      </c>
      <c r="L365" s="304">
        <f t="shared" ca="1" si="145"/>
        <v>457.11372194934467</v>
      </c>
      <c r="M365" s="306">
        <f t="shared" ca="1" si="161"/>
        <v>1.4530220528310556</v>
      </c>
      <c r="N365" s="304">
        <f t="shared" ca="1" si="162"/>
        <v>83.252031166654419</v>
      </c>
      <c r="P365" s="310">
        <f t="shared" ca="1" si="163"/>
        <v>23</v>
      </c>
      <c r="Q365" s="304">
        <f t="shared" ca="1" si="164"/>
        <v>0</v>
      </c>
      <c r="R365" s="306">
        <f t="shared" ca="1" si="165"/>
        <v>0</v>
      </c>
      <c r="S365" s="307">
        <f t="shared" ca="1" si="166"/>
        <v>7.4819999999999904</v>
      </c>
      <c r="T365" s="304">
        <f t="shared" ca="1" si="146"/>
        <v>73.398419999999916</v>
      </c>
      <c r="U365" s="311">
        <f t="shared" ca="1" si="147"/>
        <v>0</v>
      </c>
      <c r="V365" s="306">
        <f t="shared" ca="1" si="148"/>
        <v>1.1705737408310311</v>
      </c>
      <c r="W365" s="304">
        <f t="shared" ca="1" si="149"/>
        <v>115.45039745247009</v>
      </c>
      <c r="Y365" s="314" t="str">
        <f t="shared" ca="1" si="167"/>
        <v/>
      </c>
      <c r="Z365" s="315" t="str">
        <f t="shared" ca="1" si="168"/>
        <v/>
      </c>
      <c r="AA365" s="316" t="str">
        <f t="shared" ca="1" si="169"/>
        <v/>
      </c>
      <c r="AC365" s="310" t="e">
        <f t="shared" ca="1" si="170"/>
        <v>#N/A</v>
      </c>
      <c r="AD365" s="323" t="e">
        <f t="shared" ca="1" si="171"/>
        <v>#N/A</v>
      </c>
      <c r="AE365" s="324">
        <f t="shared" ca="1" si="150"/>
        <v>454.39018003335008</v>
      </c>
      <c r="AG365" s="306">
        <f t="shared" ca="1" si="172"/>
        <v>-25.21581727246182</v>
      </c>
      <c r="AH365" s="304">
        <f t="shared" ca="1" si="173"/>
        <v>-15.473706099722182</v>
      </c>
    </row>
    <row r="366" spans="1:34" x14ac:dyDescent="0.2">
      <c r="A366" s="347">
        <f t="shared" ca="1" si="151"/>
        <v>0.01</v>
      </c>
      <c r="B366" s="304">
        <f t="shared" ca="1" si="152"/>
        <v>3.6199999999999668</v>
      </c>
      <c r="D366" s="306">
        <f t="shared" ca="1" si="153"/>
        <v>-1.8131081038744383</v>
      </c>
      <c r="E366" s="307">
        <f t="shared" ca="1" si="154"/>
        <v>-25.133527002883881</v>
      </c>
      <c r="F366" s="304">
        <f t="shared" ca="1" si="155"/>
        <v>25.198840064594805</v>
      </c>
      <c r="G366" s="306">
        <f t="shared" ca="1" si="156"/>
        <v>22.677216908157778</v>
      </c>
      <c r="H366" s="307">
        <f t="shared" ca="1" si="157"/>
        <v>191.55894731000157</v>
      </c>
      <c r="I366" s="304">
        <f t="shared" ca="1" si="158"/>
        <v>192.89656933500811</v>
      </c>
      <c r="J366" s="306">
        <f t="shared" ca="1" si="159"/>
        <v>50.051747005410739</v>
      </c>
      <c r="K366" s="307">
        <f t="shared" ca="1" si="160"/>
        <v>456.30702618280026</v>
      </c>
      <c r="L366" s="304">
        <f t="shared" ca="1" si="145"/>
        <v>459.04387537803444</v>
      </c>
      <c r="M366" s="306">
        <f t="shared" ca="1" si="161"/>
        <v>1.4529622955987873</v>
      </c>
      <c r="N366" s="304">
        <f t="shared" ca="1" si="162"/>
        <v>83.248607329450067</v>
      </c>
      <c r="P366" s="310">
        <f t="shared" ca="1" si="163"/>
        <v>23</v>
      </c>
      <c r="Q366" s="304">
        <f t="shared" ca="1" si="164"/>
        <v>0</v>
      </c>
      <c r="R366" s="306">
        <f t="shared" ca="1" si="165"/>
        <v>0</v>
      </c>
      <c r="S366" s="307">
        <f t="shared" ca="1" si="166"/>
        <v>7.4819999999999904</v>
      </c>
      <c r="T366" s="304">
        <f t="shared" ca="1" si="146"/>
        <v>73.398419999999916</v>
      </c>
      <c r="U366" s="311">
        <f t="shared" ca="1" si="147"/>
        <v>0</v>
      </c>
      <c r="V366" s="306">
        <f t="shared" ca="1" si="148"/>
        <v>1.1703492650106908</v>
      </c>
      <c r="W366" s="304">
        <f t="shared" ca="1" si="149"/>
        <v>115.12758584138122</v>
      </c>
      <c r="Y366" s="314" t="str">
        <f t="shared" ca="1" si="167"/>
        <v/>
      </c>
      <c r="Z366" s="315" t="str">
        <f t="shared" ca="1" si="168"/>
        <v/>
      </c>
      <c r="AA366" s="316" t="str">
        <f t="shared" ca="1" si="169"/>
        <v/>
      </c>
      <c r="AC366" s="310" t="e">
        <f t="shared" ca="1" si="170"/>
        <v>#N/A</v>
      </c>
      <c r="AD366" s="323" t="e">
        <f t="shared" ca="1" si="171"/>
        <v>#N/A</v>
      </c>
      <c r="AE366" s="324">
        <f t="shared" ca="1" si="150"/>
        <v>456.30702618280026</v>
      </c>
      <c r="AG366" s="306">
        <f t="shared" ca="1" si="172"/>
        <v>-25.172461765965977</v>
      </c>
      <c r="AH366" s="304">
        <f t="shared" ca="1" si="173"/>
        <v>-15.430419333396182</v>
      </c>
    </row>
    <row r="367" spans="1:34" x14ac:dyDescent="0.2">
      <c r="A367" s="347">
        <f t="shared" ca="1" si="151"/>
        <v>0.01</v>
      </c>
      <c r="B367" s="304">
        <f t="shared" ca="1" si="152"/>
        <v>3.6299999999999666</v>
      </c>
      <c r="D367" s="306">
        <f t="shared" ca="1" si="153"/>
        <v>-1.8089515884141509</v>
      </c>
      <c r="E367" s="307">
        <f t="shared" ca="1" si="154"/>
        <v>-25.090572718194302</v>
      </c>
      <c r="F367" s="304">
        <f t="shared" ca="1" si="155"/>
        <v>25.15569806577075</v>
      </c>
      <c r="G367" s="306">
        <f t="shared" ca="1" si="156"/>
        <v>22.659127392273636</v>
      </c>
      <c r="H367" s="307">
        <f t="shared" ca="1" si="157"/>
        <v>191.30804158281964</v>
      </c>
      <c r="I367" s="304">
        <f t="shared" ca="1" si="158"/>
        <v>192.64527720251314</v>
      </c>
      <c r="J367" s="306">
        <f t="shared" ca="1" si="159"/>
        <v>50.2784287269129</v>
      </c>
      <c r="K367" s="307">
        <f t="shared" ca="1" si="160"/>
        <v>458.22136112726434</v>
      </c>
      <c r="L367" s="304">
        <f t="shared" ca="1" si="145"/>
        <v>460.97151342417033</v>
      </c>
      <c r="M367" s="306">
        <f t="shared" ca="1" si="161"/>
        <v>1.4529024301984028</v>
      </c>
      <c r="N367" s="304">
        <f t="shared" ca="1" si="162"/>
        <v>83.245177294669162</v>
      </c>
      <c r="P367" s="310">
        <f t="shared" ca="1" si="163"/>
        <v>23</v>
      </c>
      <c r="Q367" s="304">
        <f t="shared" ca="1" si="164"/>
        <v>0</v>
      </c>
      <c r="R367" s="306">
        <f t="shared" ca="1" si="165"/>
        <v>0</v>
      </c>
      <c r="S367" s="307">
        <f t="shared" ca="1" si="166"/>
        <v>7.4819999999999904</v>
      </c>
      <c r="T367" s="304">
        <f t="shared" ca="1" si="146"/>
        <v>73.398419999999916</v>
      </c>
      <c r="U367" s="311">
        <f t="shared" ca="1" si="147"/>
        <v>0</v>
      </c>
      <c r="V367" s="306">
        <f t="shared" ca="1" si="148"/>
        <v>1.1701251252518496</v>
      </c>
      <c r="W367" s="304">
        <f t="shared" ca="1" si="149"/>
        <v>114.80582964198085</v>
      </c>
      <c r="Y367" s="314" t="str">
        <f t="shared" ca="1" si="167"/>
        <v/>
      </c>
      <c r="Z367" s="315" t="str">
        <f t="shared" ca="1" si="168"/>
        <v/>
      </c>
      <c r="AA367" s="316" t="str">
        <f t="shared" ca="1" si="169"/>
        <v/>
      </c>
      <c r="AC367" s="310" t="e">
        <f t="shared" ca="1" si="170"/>
        <v>#N/A</v>
      </c>
      <c r="AD367" s="323" t="e">
        <f t="shared" ca="1" si="171"/>
        <v>#N/A</v>
      </c>
      <c r="AE367" s="324">
        <f t="shared" ca="1" si="150"/>
        <v>458.22136112726434</v>
      </c>
      <c r="AG367" s="306">
        <f t="shared" ca="1" si="172"/>
        <v>-25.129247770242443</v>
      </c>
      <c r="AH367" s="304">
        <f t="shared" ca="1" si="173"/>
        <v>-15.387274237019696</v>
      </c>
    </row>
    <row r="368" spans="1:34" x14ac:dyDescent="0.2">
      <c r="A368" s="347">
        <f t="shared" ca="1" si="151"/>
        <v>0.01</v>
      </c>
      <c r="B368" s="304">
        <f t="shared" ca="1" si="152"/>
        <v>3.6399999999999664</v>
      </c>
      <c r="D368" s="306">
        <f t="shared" ca="1" si="153"/>
        <v>-1.8048081856409746</v>
      </c>
      <c r="E368" s="307">
        <f t="shared" ca="1" si="154"/>
        <v>-25.0477588708623</v>
      </c>
      <c r="F368" s="304">
        <f t="shared" ca="1" si="155"/>
        <v>25.11269712794342</v>
      </c>
      <c r="G368" s="306">
        <f t="shared" ca="1" si="156"/>
        <v>22.641079310417226</v>
      </c>
      <c r="H368" s="307">
        <f t="shared" ca="1" si="157"/>
        <v>191.05756399411101</v>
      </c>
      <c r="I368" s="304">
        <f t="shared" ca="1" si="158"/>
        <v>192.39441580177015</v>
      </c>
      <c r="J368" s="306">
        <f t="shared" ca="1" si="159"/>
        <v>50.504929760426357</v>
      </c>
      <c r="K368" s="307">
        <f t="shared" ca="1" si="160"/>
        <v>460.13318915514901</v>
      </c>
      <c r="L368" s="304">
        <f t="shared" ca="1" si="145"/>
        <v>462.89664039847355</v>
      </c>
      <c r="M368" s="306">
        <f t="shared" ca="1" si="161"/>
        <v>1.452842456427051</v>
      </c>
      <c r="N368" s="304">
        <f t="shared" ca="1" si="162"/>
        <v>83.241741050689228</v>
      </c>
      <c r="P368" s="310">
        <f t="shared" ca="1" si="163"/>
        <v>23</v>
      </c>
      <c r="Q368" s="304">
        <f t="shared" ca="1" si="164"/>
        <v>0</v>
      </c>
      <c r="R368" s="306">
        <f t="shared" ca="1" si="165"/>
        <v>0</v>
      </c>
      <c r="S368" s="307">
        <f t="shared" ca="1" si="166"/>
        <v>7.4819999999999904</v>
      </c>
      <c r="T368" s="304">
        <f t="shared" ca="1" si="146"/>
        <v>73.398419999999916</v>
      </c>
      <c r="U368" s="311">
        <f t="shared" ca="1" si="147"/>
        <v>0</v>
      </c>
      <c r="V368" s="306">
        <f t="shared" ca="1" si="148"/>
        <v>1.1699013208756799</v>
      </c>
      <c r="W368" s="304">
        <f t="shared" ca="1" si="149"/>
        <v>114.48512431626723</v>
      </c>
      <c r="Y368" s="314" t="str">
        <f t="shared" ca="1" si="167"/>
        <v/>
      </c>
      <c r="Z368" s="315" t="str">
        <f t="shared" ca="1" si="168"/>
        <v/>
      </c>
      <c r="AA368" s="316" t="str">
        <f t="shared" ca="1" si="169"/>
        <v/>
      </c>
      <c r="AC368" s="310" t="e">
        <f t="shared" ca="1" si="170"/>
        <v>#N/A</v>
      </c>
      <c r="AD368" s="323" t="e">
        <f t="shared" ca="1" si="171"/>
        <v>#N/A</v>
      </c>
      <c r="AE368" s="324">
        <f t="shared" ca="1" si="150"/>
        <v>460.13318915514901</v>
      </c>
      <c r="AG368" s="306">
        <f t="shared" ca="1" si="172"/>
        <v>-25.086174675022743</v>
      </c>
      <c r="AH368" s="304">
        <f t="shared" ca="1" si="173"/>
        <v>-15.344270200745923</v>
      </c>
    </row>
    <row r="369" spans="1:34" x14ac:dyDescent="0.2">
      <c r="A369" s="347">
        <f t="shared" ca="1" si="151"/>
        <v>0.01</v>
      </c>
      <c r="B369" s="304">
        <f t="shared" ca="1" si="152"/>
        <v>3.6499999999999662</v>
      </c>
      <c r="D369" s="306">
        <f t="shared" ca="1" si="153"/>
        <v>-1.8006778385772551</v>
      </c>
      <c r="E369" s="307">
        <f t="shared" ca="1" si="154"/>
        <v>-25.00508485703952</v>
      </c>
      <c r="F369" s="304">
        <f t="shared" ca="1" si="155"/>
        <v>25.069836644583273</v>
      </c>
      <c r="G369" s="306">
        <f t="shared" ca="1" si="156"/>
        <v>22.623072532031454</v>
      </c>
      <c r="H369" s="307">
        <f t="shared" ca="1" si="157"/>
        <v>190.80751314554061</v>
      </c>
      <c r="I369" s="304">
        <f t="shared" ca="1" si="158"/>
        <v>192.1439837298457</v>
      </c>
      <c r="J369" s="306">
        <f t="shared" ca="1" si="159"/>
        <v>50.7312505196386</v>
      </c>
      <c r="K369" s="307">
        <f t="shared" ca="1" si="160"/>
        <v>462.04251454084726</v>
      </c>
      <c r="L369" s="304">
        <f t="shared" ca="1" si="145"/>
        <v>464.81926059761702</v>
      </c>
      <c r="M369" s="306">
        <f t="shared" ca="1" si="161"/>
        <v>1.4527823740812738</v>
      </c>
      <c r="N369" s="304">
        <f t="shared" ca="1" si="162"/>
        <v>83.238298585852945</v>
      </c>
      <c r="P369" s="310">
        <f t="shared" ca="1" si="163"/>
        <v>23</v>
      </c>
      <c r="Q369" s="304">
        <f t="shared" ca="1" si="164"/>
        <v>0</v>
      </c>
      <c r="R369" s="306">
        <f t="shared" ca="1" si="165"/>
        <v>0</v>
      </c>
      <c r="S369" s="307">
        <f t="shared" ca="1" si="166"/>
        <v>7.4819999999999904</v>
      </c>
      <c r="T369" s="304">
        <f t="shared" ca="1" si="146"/>
        <v>73.398419999999916</v>
      </c>
      <c r="U369" s="311">
        <f t="shared" ca="1" si="147"/>
        <v>0</v>
      </c>
      <c r="V369" s="306">
        <f t="shared" ca="1" si="148"/>
        <v>1.1696778512056827</v>
      </c>
      <c r="W369" s="304">
        <f t="shared" ca="1" si="149"/>
        <v>114.1654653509479</v>
      </c>
      <c r="Y369" s="314" t="str">
        <f t="shared" ca="1" si="167"/>
        <v/>
      </c>
      <c r="Z369" s="315" t="str">
        <f t="shared" ca="1" si="168"/>
        <v/>
      </c>
      <c r="AA369" s="316" t="str">
        <f t="shared" ca="1" si="169"/>
        <v/>
      </c>
      <c r="AC369" s="310" t="e">
        <f t="shared" ca="1" si="170"/>
        <v>#N/A</v>
      </c>
      <c r="AD369" s="323" t="e">
        <f t="shared" ca="1" si="171"/>
        <v>#N/A</v>
      </c>
      <c r="AE369" s="324">
        <f t="shared" ca="1" si="150"/>
        <v>462.04251454084726</v>
      </c>
      <c r="AG369" s="306">
        <f t="shared" ca="1" si="172"/>
        <v>-25.043241873361133</v>
      </c>
      <c r="AH369" s="304">
        <f t="shared" ca="1" si="173"/>
        <v>-15.30140661805231</v>
      </c>
    </row>
    <row r="370" spans="1:34" x14ac:dyDescent="0.2">
      <c r="A370" s="347">
        <f t="shared" ca="1" si="151"/>
        <v>0.01</v>
      </c>
      <c r="B370" s="304">
        <f t="shared" ca="1" si="152"/>
        <v>3.6599999999999659</v>
      </c>
      <c r="D370" s="306">
        <f t="shared" ca="1" si="153"/>
        <v>-1.7965604905549977</v>
      </c>
      <c r="E370" s="307">
        <f t="shared" ca="1" si="154"/>
        <v>-24.962550076165549</v>
      </c>
      <c r="F370" s="304">
        <f t="shared" ca="1" si="155"/>
        <v>25.027116012463278</v>
      </c>
      <c r="G370" s="306">
        <f t="shared" ca="1" si="156"/>
        <v>22.605106927125902</v>
      </c>
      <c r="H370" s="307">
        <f t="shared" ca="1" si="157"/>
        <v>190.55788764477896</v>
      </c>
      <c r="I370" s="304">
        <f t="shared" ca="1" si="158"/>
        <v>191.89397958984279</v>
      </c>
      <c r="J370" s="306">
        <f t="shared" ca="1" si="159"/>
        <v>50.957391416934385</v>
      </c>
      <c r="K370" s="307">
        <f t="shared" ca="1" si="160"/>
        <v>463.94934154479887</v>
      </c>
      <c r="L370" s="304">
        <f t="shared" ca="1" si="145"/>
        <v>466.73937830428565</v>
      </c>
      <c r="M370" s="306">
        <f t="shared" ca="1" si="161"/>
        <v>1.4527221829570054</v>
      </c>
      <c r="N370" s="304">
        <f t="shared" ca="1" si="162"/>
        <v>83.234849888468219</v>
      </c>
      <c r="P370" s="310">
        <f t="shared" ca="1" si="163"/>
        <v>23</v>
      </c>
      <c r="Q370" s="304">
        <f t="shared" ca="1" si="164"/>
        <v>0</v>
      </c>
      <c r="R370" s="306">
        <f t="shared" ca="1" si="165"/>
        <v>0</v>
      </c>
      <c r="S370" s="307">
        <f t="shared" ca="1" si="166"/>
        <v>7.4819999999999904</v>
      </c>
      <c r="T370" s="304">
        <f t="shared" ca="1" si="146"/>
        <v>73.398419999999916</v>
      </c>
      <c r="U370" s="311">
        <f t="shared" ca="1" si="147"/>
        <v>0</v>
      </c>
      <c r="V370" s="306">
        <f t="shared" ca="1" si="148"/>
        <v>1.1694547155676771</v>
      </c>
      <c r="W370" s="304">
        <f t="shared" ca="1" si="149"/>
        <v>113.84684825727749</v>
      </c>
      <c r="Y370" s="314" t="str">
        <f t="shared" ca="1" si="167"/>
        <v/>
      </c>
      <c r="Z370" s="315" t="str">
        <f t="shared" ca="1" si="168"/>
        <v/>
      </c>
      <c r="AA370" s="316" t="str">
        <f t="shared" ca="1" si="169"/>
        <v/>
      </c>
      <c r="AC370" s="310" t="e">
        <f t="shared" ca="1" si="170"/>
        <v>#N/A</v>
      </c>
      <c r="AD370" s="323" t="e">
        <f t="shared" ca="1" si="171"/>
        <v>#N/A</v>
      </c>
      <c r="AE370" s="324">
        <f t="shared" ca="1" si="150"/>
        <v>463.94934154479887</v>
      </c>
      <c r="AG370" s="306">
        <f t="shared" ca="1" si="172"/>
        <v>-25.000448761612855</v>
      </c>
      <c r="AH370" s="304">
        <f t="shared" ca="1" si="173"/>
        <v>-15.258682885718798</v>
      </c>
    </row>
    <row r="371" spans="1:34" x14ac:dyDescent="0.2">
      <c r="A371" s="347">
        <f t="shared" ca="1" si="151"/>
        <v>0.01</v>
      </c>
      <c r="B371" s="304">
        <f t="shared" ca="1" si="152"/>
        <v>3.6699999999999657</v>
      </c>
      <c r="D371" s="306">
        <f t="shared" ca="1" si="153"/>
        <v>-1.7924560852138081</v>
      </c>
      <c r="E371" s="307">
        <f t="shared" ca="1" si="154"/>
        <v>-24.920153930946306</v>
      </c>
      <c r="F371" s="304">
        <f t="shared" ca="1" si="155"/>
        <v>24.984534631637199</v>
      </c>
      <c r="G371" s="306">
        <f t="shared" ca="1" si="156"/>
        <v>22.587182366273765</v>
      </c>
      <c r="H371" s="307">
        <f t="shared" ca="1" si="157"/>
        <v>190.30868610546949</v>
      </c>
      <c r="I371" s="304">
        <f t="shared" ca="1" si="158"/>
        <v>191.64440199086803</v>
      </c>
      <c r="J371" s="306">
        <f t="shared" ca="1" si="159"/>
        <v>51.183352863401382</v>
      </c>
      <c r="K371" s="307">
        <f t="shared" ca="1" si="160"/>
        <v>465.8536744135501</v>
      </c>
      <c r="L371" s="304">
        <f t="shared" ca="1" si="145"/>
        <v>468.65699778723609</v>
      </c>
      <c r="M371" s="306">
        <f t="shared" ca="1" si="161"/>
        <v>1.4526618828495708</v>
      </c>
      <c r="N371" s="304">
        <f t="shared" ca="1" si="162"/>
        <v>83.231394946808024</v>
      </c>
      <c r="P371" s="310">
        <f t="shared" ca="1" si="163"/>
        <v>23</v>
      </c>
      <c r="Q371" s="304">
        <f t="shared" ca="1" si="164"/>
        <v>0</v>
      </c>
      <c r="R371" s="306">
        <f t="shared" ca="1" si="165"/>
        <v>0</v>
      </c>
      <c r="S371" s="307">
        <f t="shared" ca="1" si="166"/>
        <v>7.4819999999999904</v>
      </c>
      <c r="T371" s="304">
        <f t="shared" ca="1" si="146"/>
        <v>73.398419999999916</v>
      </c>
      <c r="U371" s="311">
        <f t="shared" ca="1" si="147"/>
        <v>0</v>
      </c>
      <c r="V371" s="306">
        <f t="shared" ca="1" si="148"/>
        <v>1.1692319132897886</v>
      </c>
      <c r="W371" s="304">
        <f t="shared" ca="1" si="149"/>
        <v>113.52926857089734</v>
      </c>
      <c r="Y371" s="314" t="str">
        <f t="shared" ca="1" si="167"/>
        <v/>
      </c>
      <c r="Z371" s="315" t="str">
        <f t="shared" ca="1" si="168"/>
        <v/>
      </c>
      <c r="AA371" s="316" t="str">
        <f t="shared" ca="1" si="169"/>
        <v/>
      </c>
      <c r="AC371" s="310" t="e">
        <f t="shared" ca="1" si="170"/>
        <v>#N/A</v>
      </c>
      <c r="AD371" s="323" t="e">
        <f t="shared" ca="1" si="171"/>
        <v>#N/A</v>
      </c>
      <c r="AE371" s="324">
        <f t="shared" ca="1" si="150"/>
        <v>465.8536744135501</v>
      </c>
      <c r="AG371" s="306">
        <f t="shared" ca="1" si="172"/>
        <v>-24.957794739412456</v>
      </c>
      <c r="AH371" s="304">
        <f t="shared" ca="1" si="173"/>
        <v>-15.216098403806152</v>
      </c>
    </row>
    <row r="372" spans="1:34" x14ac:dyDescent="0.2">
      <c r="A372" s="347">
        <f t="shared" ca="1" si="151"/>
        <v>0.01</v>
      </c>
      <c r="B372" s="304">
        <f t="shared" ca="1" si="152"/>
        <v>3.6799999999999655</v>
      </c>
      <c r="D372" s="306">
        <f t="shared" ca="1" si="153"/>
        <v>-1.7883645664988828</v>
      </c>
      <c r="E372" s="307">
        <f t="shared" ca="1" si="154"/>
        <v>-24.877895827332743</v>
      </c>
      <c r="F372" s="304">
        <f t="shared" ca="1" si="155"/>
        <v>24.942091905418209</v>
      </c>
      <c r="G372" s="306">
        <f t="shared" ca="1" si="156"/>
        <v>22.569298720608778</v>
      </c>
      <c r="H372" s="307">
        <f t="shared" ca="1" si="157"/>
        <v>190.05990714719616</v>
      </c>
      <c r="I372" s="304">
        <f t="shared" ca="1" si="158"/>
        <v>191.39524954799924</v>
      </c>
      <c r="J372" s="306">
        <f t="shared" ca="1" si="159"/>
        <v>51.409135268835797</v>
      </c>
      <c r="K372" s="307">
        <f t="shared" ca="1" si="160"/>
        <v>467.7555173798134</v>
      </c>
      <c r="L372" s="304">
        <f t="shared" ca="1" si="145"/>
        <v>470.57212330135576</v>
      </c>
      <c r="M372" s="306">
        <f t="shared" ca="1" si="161"/>
        <v>1.4526014735536816</v>
      </c>
      <c r="N372" s="304">
        <f t="shared" ca="1" si="162"/>
        <v>83.227933749110221</v>
      </c>
      <c r="P372" s="310">
        <f t="shared" ca="1" si="163"/>
        <v>23</v>
      </c>
      <c r="Q372" s="304">
        <f t="shared" ca="1" si="164"/>
        <v>0</v>
      </c>
      <c r="R372" s="306">
        <f t="shared" ca="1" si="165"/>
        <v>0</v>
      </c>
      <c r="S372" s="307">
        <f t="shared" ca="1" si="166"/>
        <v>7.4819999999999904</v>
      </c>
      <c r="T372" s="304">
        <f t="shared" ca="1" si="146"/>
        <v>73.398419999999916</v>
      </c>
      <c r="U372" s="311">
        <f t="shared" ca="1" si="147"/>
        <v>0</v>
      </c>
      <c r="V372" s="306">
        <f t="shared" ca="1" si="148"/>
        <v>1.1690094437024405</v>
      </c>
      <c r="W372" s="304">
        <f t="shared" ca="1" si="149"/>
        <v>113.21272185167614</v>
      </c>
      <c r="Y372" s="314" t="str">
        <f t="shared" ca="1" si="167"/>
        <v/>
      </c>
      <c r="Z372" s="315" t="str">
        <f t="shared" ca="1" si="168"/>
        <v/>
      </c>
      <c r="AA372" s="316" t="str">
        <f t="shared" ca="1" si="169"/>
        <v/>
      </c>
      <c r="AC372" s="310" t="e">
        <f t="shared" ca="1" si="170"/>
        <v>#N/A</v>
      </c>
      <c r="AD372" s="323" t="e">
        <f t="shared" ca="1" si="171"/>
        <v>#N/A</v>
      </c>
      <c r="AE372" s="324">
        <f t="shared" ca="1" si="150"/>
        <v>467.7555173798134</v>
      </c>
      <c r="AG372" s="306">
        <f t="shared" ca="1" si="172"/>
        <v>-24.915279209652333</v>
      </c>
      <c r="AH372" s="304">
        <f t="shared" ca="1" si="173"/>
        <v>-15.173652575634522</v>
      </c>
    </row>
    <row r="373" spans="1:34" x14ac:dyDescent="0.2">
      <c r="A373" s="347">
        <f t="shared" ca="1" si="151"/>
        <v>0.01</v>
      </c>
      <c r="B373" s="304">
        <f t="shared" ca="1" si="152"/>
        <v>3.6899999999999653</v>
      </c>
      <c r="D373" s="306">
        <f t="shared" ca="1" si="153"/>
        <v>-1.784285878659031</v>
      </c>
      <c r="E373" s="307">
        <f t="shared" ca="1" si="154"/>
        <v>-24.835775174499588</v>
      </c>
      <c r="F373" s="304">
        <f t="shared" ca="1" si="155"/>
        <v>24.89978724035754</v>
      </c>
      <c r="G373" s="306">
        <f t="shared" ca="1" si="156"/>
        <v>22.551455861822188</v>
      </c>
      <c r="H373" s="307">
        <f t="shared" ca="1" si="157"/>
        <v>189.81154939545115</v>
      </c>
      <c r="I373" s="304">
        <f t="shared" ca="1" si="158"/>
        <v>191.14652088225282</v>
      </c>
      <c r="J373" s="306">
        <f t="shared" ca="1" si="159"/>
        <v>51.634739041747949</v>
      </c>
      <c r="K373" s="307">
        <f t="shared" ca="1" si="160"/>
        <v>469.65487466252665</v>
      </c>
      <c r="L373" s="304">
        <f t="shared" ca="1" si="145"/>
        <v>472.48475908772235</v>
      </c>
      <c r="M373" s="306">
        <f t="shared" ca="1" si="161"/>
        <v>1.4525409548634367</v>
      </c>
      <c r="N373" s="304">
        <f t="shared" ca="1" si="162"/>
        <v>83.224466283577527</v>
      </c>
      <c r="P373" s="310">
        <f t="shared" ca="1" si="163"/>
        <v>23</v>
      </c>
      <c r="Q373" s="304">
        <f t="shared" ca="1" si="164"/>
        <v>0</v>
      </c>
      <c r="R373" s="306">
        <f t="shared" ca="1" si="165"/>
        <v>0</v>
      </c>
      <c r="S373" s="307">
        <f t="shared" ca="1" si="166"/>
        <v>7.4819999999999904</v>
      </c>
      <c r="T373" s="304">
        <f t="shared" ca="1" si="146"/>
        <v>73.398419999999916</v>
      </c>
      <c r="U373" s="311">
        <f t="shared" ca="1" si="147"/>
        <v>0</v>
      </c>
      <c r="V373" s="306">
        <f t="shared" ca="1" si="148"/>
        <v>1.1687873061383425</v>
      </c>
      <c r="W373" s="304">
        <f t="shared" ca="1" si="149"/>
        <v>112.89720368355164</v>
      </c>
      <c r="Y373" s="314" t="str">
        <f t="shared" ca="1" si="167"/>
        <v/>
      </c>
      <c r="Z373" s="315" t="str">
        <f t="shared" ca="1" si="168"/>
        <v/>
      </c>
      <c r="AA373" s="316" t="str">
        <f t="shared" ca="1" si="169"/>
        <v/>
      </c>
      <c r="AC373" s="310" t="e">
        <f t="shared" ca="1" si="170"/>
        <v>#N/A</v>
      </c>
      <c r="AD373" s="323" t="e">
        <f t="shared" ca="1" si="171"/>
        <v>#N/A</v>
      </c>
      <c r="AE373" s="324">
        <f t="shared" ca="1" si="150"/>
        <v>469.65487466252665</v>
      </c>
      <c r="AG373" s="306">
        <f t="shared" ca="1" si="172"/>
        <v>-24.872901578461438</v>
      </c>
      <c r="AH373" s="304">
        <f t="shared" ca="1" si="173"/>
        <v>-15.131344807762133</v>
      </c>
    </row>
    <row r="374" spans="1:34" x14ac:dyDescent="0.2">
      <c r="A374" s="347">
        <f t="shared" ca="1" si="151"/>
        <v>0.01</v>
      </c>
      <c r="B374" s="304">
        <f t="shared" ca="1" si="152"/>
        <v>3.6999999999999651</v>
      </c>
      <c r="D374" s="306">
        <f t="shared" ca="1" si="153"/>
        <v>-1.7802199662446634</v>
      </c>
      <c r="E374" s="307">
        <f t="shared" ca="1" si="154"/>
        <v>-24.793791384824324</v>
      </c>
      <c r="F374" s="304">
        <f t="shared" ca="1" si="155"/>
        <v>24.857620046223349</v>
      </c>
      <c r="G374" s="306">
        <f t="shared" ca="1" si="156"/>
        <v>22.53365366215974</v>
      </c>
      <c r="H374" s="307">
        <f t="shared" ca="1" si="157"/>
        <v>189.56361148160292</v>
      </c>
      <c r="I374" s="304">
        <f t="shared" ca="1" si="158"/>
        <v>190.89821462055181</v>
      </c>
      <c r="J374" s="306">
        <f t="shared" ca="1" si="159"/>
        <v>51.860164589367855</v>
      </c>
      <c r="K374" s="307">
        <f t="shared" ca="1" si="160"/>
        <v>471.55175046691193</v>
      </c>
      <c r="L374" s="304">
        <f t="shared" ca="1" si="145"/>
        <v>474.39490937366213</v>
      </c>
      <c r="M374" s="306">
        <f t="shared" ca="1" si="161"/>
        <v>1.4524803265723178</v>
      </c>
      <c r="N374" s="304">
        <f t="shared" ca="1" si="162"/>
        <v>83.220992538377331</v>
      </c>
      <c r="P374" s="310">
        <f t="shared" ca="1" si="163"/>
        <v>23</v>
      </c>
      <c r="Q374" s="304">
        <f t="shared" ca="1" si="164"/>
        <v>0</v>
      </c>
      <c r="R374" s="306">
        <f t="shared" ca="1" si="165"/>
        <v>0</v>
      </c>
      <c r="S374" s="307">
        <f t="shared" ca="1" si="166"/>
        <v>7.4819999999999904</v>
      </c>
      <c r="T374" s="304">
        <f t="shared" ca="1" si="146"/>
        <v>73.398419999999916</v>
      </c>
      <c r="U374" s="311">
        <f t="shared" ca="1" si="147"/>
        <v>0</v>
      </c>
      <c r="V374" s="306">
        <f t="shared" ca="1" si="148"/>
        <v>1.1685654999324817</v>
      </c>
      <c r="W374" s="304">
        <f t="shared" ca="1" si="149"/>
        <v>112.58270967437393</v>
      </c>
      <c r="Y374" s="314" t="str">
        <f t="shared" ca="1" si="167"/>
        <v/>
      </c>
      <c r="Z374" s="315" t="str">
        <f t="shared" ca="1" si="168"/>
        <v/>
      </c>
      <c r="AA374" s="316" t="str">
        <f t="shared" ca="1" si="169"/>
        <v/>
      </c>
      <c r="AC374" s="310" t="e">
        <f t="shared" ca="1" si="170"/>
        <v>#N/A</v>
      </c>
      <c r="AD374" s="323" t="e">
        <f t="shared" ca="1" si="171"/>
        <v>#N/A</v>
      </c>
      <c r="AE374" s="324">
        <f t="shared" ca="1" si="150"/>
        <v>471.55175046691193</v>
      </c>
      <c r="AG374" s="306">
        <f t="shared" ca="1" si="172"/>
        <v>-24.830661255184111</v>
      </c>
      <c r="AH374" s="304">
        <f t="shared" ca="1" si="173"/>
        <v>-15.089174509964151</v>
      </c>
    </row>
    <row r="375" spans="1:34" x14ac:dyDescent="0.2">
      <c r="A375" s="347">
        <f t="shared" ca="1" si="151"/>
        <v>0.01</v>
      </c>
      <c r="B375" s="304">
        <f t="shared" ca="1" si="152"/>
        <v>3.7099999999999649</v>
      </c>
      <c r="D375" s="306">
        <f t="shared" ca="1" si="153"/>
        <v>-1.7761667741058504</v>
      </c>
      <c r="E375" s="307">
        <f t="shared" ca="1" si="154"/>
        <v>-24.751943873866335</v>
      </c>
      <c r="F375" s="304">
        <f t="shared" ca="1" si="155"/>
        <v>24.815589735979813</v>
      </c>
      <c r="G375" s="306">
        <f t="shared" ca="1" si="156"/>
        <v>22.515891994418681</v>
      </c>
      <c r="H375" s="307">
        <f t="shared" ca="1" si="157"/>
        <v>189.31609204286426</v>
      </c>
      <c r="I375" s="304">
        <f t="shared" ca="1" si="158"/>
        <v>190.65032939569389</v>
      </c>
      <c r="J375" s="306">
        <f t="shared" ca="1" si="159"/>
        <v>52.08541231765075</v>
      </c>
      <c r="K375" s="307">
        <f t="shared" ca="1" si="160"/>
        <v>473.44614898453426</v>
      </c>
      <c r="L375" s="304">
        <f t="shared" ca="1" si="145"/>
        <v>476.30257837280863</v>
      </c>
      <c r="M375" s="306">
        <f t="shared" ca="1" si="161"/>
        <v>1.452419588473189</v>
      </c>
      <c r="N375" s="304">
        <f t="shared" ca="1" si="162"/>
        <v>83.217512501641593</v>
      </c>
      <c r="P375" s="310">
        <f t="shared" ca="1" si="163"/>
        <v>23</v>
      </c>
      <c r="Q375" s="304">
        <f t="shared" ca="1" si="164"/>
        <v>0</v>
      </c>
      <c r="R375" s="306">
        <f t="shared" ca="1" si="165"/>
        <v>0</v>
      </c>
      <c r="S375" s="307">
        <f t="shared" ca="1" si="166"/>
        <v>7.4819999999999904</v>
      </c>
      <c r="T375" s="304">
        <f t="shared" ca="1" si="146"/>
        <v>73.398419999999916</v>
      </c>
      <c r="U375" s="311">
        <f t="shared" ca="1" si="147"/>
        <v>0</v>
      </c>
      <c r="V375" s="306">
        <f t="shared" ca="1" si="148"/>
        <v>1.1683440244221104</v>
      </c>
      <c r="W375" s="304">
        <f t="shared" ca="1" si="149"/>
        <v>112.26923545574951</v>
      </c>
      <c r="Y375" s="314" t="str">
        <f t="shared" ca="1" si="167"/>
        <v/>
      </c>
      <c r="Z375" s="315" t="str">
        <f t="shared" ca="1" si="168"/>
        <v/>
      </c>
      <c r="AA375" s="316" t="str">
        <f t="shared" ca="1" si="169"/>
        <v/>
      </c>
      <c r="AC375" s="310" t="e">
        <f t="shared" ca="1" si="170"/>
        <v>#N/A</v>
      </c>
      <c r="AD375" s="323" t="e">
        <f t="shared" ca="1" si="171"/>
        <v>#N/A</v>
      </c>
      <c r="AE375" s="324">
        <f t="shared" ca="1" si="150"/>
        <v>473.44614898453426</v>
      </c>
      <c r="AG375" s="306">
        <f t="shared" ca="1" si="172"/>
        <v>-24.788557652359135</v>
      </c>
      <c r="AH375" s="304">
        <f t="shared" ca="1" si="173"/>
        <v>-15.047141095211717</v>
      </c>
    </row>
    <row r="376" spans="1:34" x14ac:dyDescent="0.2">
      <c r="A376" s="347">
        <f t="shared" ca="1" si="151"/>
        <v>0.01</v>
      </c>
      <c r="B376" s="304">
        <f t="shared" ca="1" si="152"/>
        <v>3.7199999999999647</v>
      </c>
      <c r="D376" s="306">
        <f t="shared" ca="1" si="153"/>
        <v>-1.7721262473903527</v>
      </c>
      <c r="E376" s="307">
        <f t="shared" ca="1" si="154"/>
        <v>-24.710232060346115</v>
      </c>
      <c r="F376" s="304">
        <f t="shared" ca="1" si="155"/>
        <v>24.773695725766206</v>
      </c>
      <c r="G376" s="306">
        <f t="shared" ca="1" si="156"/>
        <v>22.498170731944779</v>
      </c>
      <c r="H376" s="307">
        <f t="shared" ca="1" si="157"/>
        <v>189.0689897222608</v>
      </c>
      <c r="I376" s="304">
        <f t="shared" ca="1" si="158"/>
        <v>190.40286384631952</v>
      </c>
      <c r="J376" s="306">
        <f t="shared" ca="1" si="159"/>
        <v>52.310482631282568</v>
      </c>
      <c r="K376" s="307">
        <f t="shared" ca="1" si="160"/>
        <v>475.33807439335988</v>
      </c>
      <c r="L376" s="304">
        <f t="shared" ca="1" si="145"/>
        <v>478.20777028516073</v>
      </c>
      <c r="M376" s="306">
        <f t="shared" ca="1" si="161"/>
        <v>1.4523587403582938</v>
      </c>
      <c r="N376" s="304">
        <f t="shared" ca="1" si="162"/>
        <v>83.214026161466776</v>
      </c>
      <c r="P376" s="310">
        <f t="shared" ca="1" si="163"/>
        <v>23</v>
      </c>
      <c r="Q376" s="304">
        <f t="shared" ca="1" si="164"/>
        <v>0</v>
      </c>
      <c r="R376" s="306">
        <f t="shared" ca="1" si="165"/>
        <v>0</v>
      </c>
      <c r="S376" s="307">
        <f t="shared" ca="1" si="166"/>
        <v>7.4819999999999904</v>
      </c>
      <c r="T376" s="304">
        <f t="shared" ca="1" si="146"/>
        <v>73.398419999999916</v>
      </c>
      <c r="U376" s="311">
        <f t="shared" ca="1" si="147"/>
        <v>0</v>
      </c>
      <c r="V376" s="306">
        <f t="shared" ca="1" si="148"/>
        <v>1.1681228789467384</v>
      </c>
      <c r="W376" s="304">
        <f t="shared" ca="1" si="149"/>
        <v>111.95677668288675</v>
      </c>
      <c r="Y376" s="314" t="str">
        <f t="shared" ca="1" si="167"/>
        <v/>
      </c>
      <c r="Z376" s="315" t="str">
        <f t="shared" ca="1" si="168"/>
        <v/>
      </c>
      <c r="AA376" s="316" t="str">
        <f t="shared" ca="1" si="169"/>
        <v/>
      </c>
      <c r="AC376" s="310" t="e">
        <f t="shared" ca="1" si="170"/>
        <v>#N/A</v>
      </c>
      <c r="AD376" s="323" t="e">
        <f t="shared" ca="1" si="171"/>
        <v>#N/A</v>
      </c>
      <c r="AE376" s="324">
        <f t="shared" ca="1" si="150"/>
        <v>475.33807439335988</v>
      </c>
      <c r="AG376" s="306">
        <f t="shared" ca="1" si="172"/>
        <v>-24.746590185698878</v>
      </c>
      <c r="AH376" s="304">
        <f t="shared" ca="1" si="173"/>
        <v>-15.005243979651116</v>
      </c>
    </row>
    <row r="377" spans="1:34" x14ac:dyDescent="0.2">
      <c r="A377" s="347">
        <f t="shared" ca="1" si="151"/>
        <v>0.01</v>
      </c>
      <c r="B377" s="304">
        <f t="shared" ca="1" si="152"/>
        <v>3.7299999999999645</v>
      </c>
      <c r="D377" s="306">
        <f t="shared" ca="1" si="153"/>
        <v>-1.7680983315416883</v>
      </c>
      <c r="E377" s="307">
        <f t="shared" ca="1" si="154"/>
        <v>-24.668655366124753</v>
      </c>
      <c r="F377" s="304">
        <f t="shared" ca="1" si="155"/>
        <v>24.731937434876308</v>
      </c>
      <c r="G377" s="306">
        <f t="shared" ca="1" si="156"/>
        <v>22.480489748629363</v>
      </c>
      <c r="H377" s="307">
        <f t="shared" ca="1" si="157"/>
        <v>188.82230316859955</v>
      </c>
      <c r="I377" s="304">
        <f t="shared" ca="1" si="158"/>
        <v>190.15581661688066</v>
      </c>
      <c r="J377" s="306">
        <f t="shared" ca="1" si="159"/>
        <v>52.535375933685437</v>
      </c>
      <c r="K377" s="307">
        <f t="shared" ca="1" si="160"/>
        <v>477.2275308578142</v>
      </c>
      <c r="L377" s="304">
        <f t="shared" ca="1" si="145"/>
        <v>480.11048929714053</v>
      </c>
      <c r="M377" s="306">
        <f t="shared" ca="1" si="161"/>
        <v>1.4522977820192535</v>
      </c>
      <c r="N377" s="304">
        <f t="shared" ca="1" si="162"/>
        <v>83.210533505913645</v>
      </c>
      <c r="P377" s="310">
        <f t="shared" ca="1" si="163"/>
        <v>23</v>
      </c>
      <c r="Q377" s="304">
        <f t="shared" ca="1" si="164"/>
        <v>0</v>
      </c>
      <c r="R377" s="306">
        <f t="shared" ca="1" si="165"/>
        <v>0</v>
      </c>
      <c r="S377" s="307">
        <f t="shared" ca="1" si="166"/>
        <v>7.4819999999999904</v>
      </c>
      <c r="T377" s="304">
        <f t="shared" ca="1" si="146"/>
        <v>73.398419999999916</v>
      </c>
      <c r="U377" s="311">
        <f t="shared" ca="1" si="147"/>
        <v>0</v>
      </c>
      <c r="V377" s="306">
        <f t="shared" ca="1" si="148"/>
        <v>1.1679020628481211</v>
      </c>
      <c r="W377" s="304">
        <f t="shared" ca="1" si="149"/>
        <v>111.64532903444277</v>
      </c>
      <c r="Y377" s="314" t="str">
        <f t="shared" ca="1" si="167"/>
        <v/>
      </c>
      <c r="Z377" s="315" t="str">
        <f t="shared" ca="1" si="168"/>
        <v/>
      </c>
      <c r="AA377" s="316" t="str">
        <f t="shared" ca="1" si="169"/>
        <v/>
      </c>
      <c r="AC377" s="310" t="e">
        <f t="shared" ca="1" si="170"/>
        <v>#N/A</v>
      </c>
      <c r="AD377" s="323" t="e">
        <f t="shared" ca="1" si="171"/>
        <v>#N/A</v>
      </c>
      <c r="AE377" s="324">
        <f t="shared" ca="1" si="150"/>
        <v>477.2275308578142</v>
      </c>
      <c r="AG377" s="306">
        <f t="shared" ca="1" si="172"/>
        <v>-24.704758274068631</v>
      </c>
      <c r="AH377" s="304">
        <f t="shared" ca="1" si="173"/>
        <v>-14.963482582583119</v>
      </c>
    </row>
    <row r="378" spans="1:34" x14ac:dyDescent="0.2">
      <c r="A378" s="347">
        <f t="shared" ca="1" si="151"/>
        <v>0.01</v>
      </c>
      <c r="B378" s="304">
        <f t="shared" ca="1" si="152"/>
        <v>3.7399999999999642</v>
      </c>
      <c r="D378" s="306">
        <f t="shared" ca="1" si="153"/>
        <v>-1.764082972297216</v>
      </c>
      <c r="E378" s="307">
        <f t="shared" ca="1" si="154"/>
        <v>-24.62721321618352</v>
      </c>
      <c r="F378" s="304">
        <f t="shared" ca="1" si="155"/>
        <v>24.690314285737905</v>
      </c>
      <c r="G378" s="306">
        <f t="shared" ca="1" si="156"/>
        <v>22.462848918906392</v>
      </c>
      <c r="H378" s="307">
        <f t="shared" ca="1" si="157"/>
        <v>188.57603103643771</v>
      </c>
      <c r="I378" s="304">
        <f t="shared" ca="1" si="158"/>
        <v>189.90918635760917</v>
      </c>
      <c r="J378" s="306">
        <f t="shared" ca="1" si="159"/>
        <v>52.760092627023113</v>
      </c>
      <c r="K378" s="307">
        <f t="shared" ca="1" si="160"/>
        <v>479.11452252883942</v>
      </c>
      <c r="L378" s="304">
        <f t="shared" ca="1" si="145"/>
        <v>482.01073958165063</v>
      </c>
      <c r="M378" s="306">
        <f t="shared" ca="1" si="161"/>
        <v>1.452236713247065</v>
      </c>
      <c r="N378" s="304">
        <f t="shared" ca="1" si="162"/>
        <v>83.207034523007195</v>
      </c>
      <c r="P378" s="310">
        <f t="shared" ca="1" si="163"/>
        <v>23</v>
      </c>
      <c r="Q378" s="304">
        <f t="shared" ca="1" si="164"/>
        <v>0</v>
      </c>
      <c r="R378" s="306">
        <f t="shared" ca="1" si="165"/>
        <v>0</v>
      </c>
      <c r="S378" s="307">
        <f t="shared" ca="1" si="166"/>
        <v>7.4819999999999904</v>
      </c>
      <c r="T378" s="304">
        <f t="shared" ca="1" si="146"/>
        <v>73.398419999999916</v>
      </c>
      <c r="U378" s="311">
        <f t="shared" ca="1" si="147"/>
        <v>0</v>
      </c>
      <c r="V378" s="306">
        <f t="shared" ca="1" si="148"/>
        <v>1.1676815754702512</v>
      </c>
      <c r="W378" s="304">
        <f t="shared" ca="1" si="149"/>
        <v>111.3348882123708</v>
      </c>
      <c r="Y378" s="314" t="str">
        <f t="shared" ca="1" si="167"/>
        <v/>
      </c>
      <c r="Z378" s="315" t="str">
        <f t="shared" ca="1" si="168"/>
        <v/>
      </c>
      <c r="AA378" s="316" t="str">
        <f t="shared" ca="1" si="169"/>
        <v/>
      </c>
      <c r="AC378" s="310" t="e">
        <f t="shared" ca="1" si="170"/>
        <v>#N/A</v>
      </c>
      <c r="AD378" s="323" t="e">
        <f t="shared" ca="1" si="171"/>
        <v>#N/A</v>
      </c>
      <c r="AE378" s="324">
        <f t="shared" ca="1" si="150"/>
        <v>479.11452252883942</v>
      </c>
      <c r="AG378" s="306">
        <f t="shared" ca="1" si="172"/>
        <v>-24.663061339466157</v>
      </c>
      <c r="AH378" s="304">
        <f t="shared" ca="1" si="173"/>
        <v>-14.921856326442517</v>
      </c>
    </row>
    <row r="379" spans="1:34" x14ac:dyDescent="0.2">
      <c r="A379" s="347">
        <f t="shared" ca="1" si="151"/>
        <v>0.01</v>
      </c>
      <c r="B379" s="304">
        <f t="shared" ca="1" si="152"/>
        <v>3.749999999999964</v>
      </c>
      <c r="D379" s="306">
        <f t="shared" ca="1" si="153"/>
        <v>-1.7600801156862143</v>
      </c>
      <c r="E379" s="307">
        <f t="shared" ca="1" si="154"/>
        <v>-24.585905038603595</v>
      </c>
      <c r="F379" s="304">
        <f t="shared" ca="1" si="155"/>
        <v>24.64882570389242</v>
      </c>
      <c r="G379" s="306">
        <f t="shared" ca="1" si="156"/>
        <v>22.445248117749529</v>
      </c>
      <c r="H379" s="307">
        <f t="shared" ca="1" si="157"/>
        <v>188.33017198605168</v>
      </c>
      <c r="I379" s="304">
        <f t="shared" ca="1" si="158"/>
        <v>189.66297172448591</v>
      </c>
      <c r="J379" s="306">
        <f t="shared" ca="1" si="159"/>
        <v>52.984633112206396</v>
      </c>
      <c r="K379" s="307">
        <f t="shared" ca="1" si="160"/>
        <v>480.99905354395185</v>
      </c>
      <c r="L379" s="304">
        <f t="shared" ca="1" si="145"/>
        <v>483.90852529813174</v>
      </c>
      <c r="M379" s="306">
        <f t="shared" ca="1" si="161"/>
        <v>1.452175533832099</v>
      </c>
      <c r="N379" s="304">
        <f t="shared" ca="1" si="162"/>
        <v>83.203529200736568</v>
      </c>
      <c r="P379" s="310">
        <f t="shared" ca="1" si="163"/>
        <v>23</v>
      </c>
      <c r="Q379" s="304">
        <f t="shared" ca="1" si="164"/>
        <v>0</v>
      </c>
      <c r="R379" s="306">
        <f t="shared" ca="1" si="165"/>
        <v>0</v>
      </c>
      <c r="S379" s="307">
        <f t="shared" ca="1" si="166"/>
        <v>7.4819999999999904</v>
      </c>
      <c r="T379" s="304">
        <f t="shared" ca="1" si="146"/>
        <v>73.398419999999916</v>
      </c>
      <c r="U379" s="311">
        <f t="shared" ca="1" si="147"/>
        <v>0</v>
      </c>
      <c r="V379" s="306">
        <f t="shared" ca="1" si="148"/>
        <v>1.1674614161593468</v>
      </c>
      <c r="W379" s="304">
        <f t="shared" ca="1" si="149"/>
        <v>111.02544994176954</v>
      </c>
      <c r="Y379" s="314" t="str">
        <f t="shared" ca="1" si="167"/>
        <v/>
      </c>
      <c r="Z379" s="315" t="str">
        <f t="shared" ca="1" si="168"/>
        <v/>
      </c>
      <c r="AA379" s="316" t="str">
        <f t="shared" ca="1" si="169"/>
        <v/>
      </c>
      <c r="AC379" s="310" t="e">
        <f t="shared" ca="1" si="170"/>
        <v>#N/A</v>
      </c>
      <c r="AD379" s="323" t="e">
        <f t="shared" ca="1" si="171"/>
        <v>#N/A</v>
      </c>
      <c r="AE379" s="324">
        <f t="shared" ca="1" si="150"/>
        <v>480.99905354395185</v>
      </c>
      <c r="AG379" s="306">
        <f t="shared" ca="1" si="172"/>
        <v>-24.621498807001252</v>
      </c>
      <c r="AH379" s="304">
        <f t="shared" ca="1" si="173"/>
        <v>-14.880364636777726</v>
      </c>
    </row>
    <row r="380" spans="1:34" x14ac:dyDescent="0.2">
      <c r="A380" s="347">
        <f t="shared" ca="1" si="151"/>
        <v>0.01</v>
      </c>
      <c r="B380" s="304">
        <f t="shared" ca="1" si="152"/>
        <v>3.7599999999999638</v>
      </c>
      <c r="D380" s="306">
        <f t="shared" ca="1" si="153"/>
        <v>-1.7560897080279951</v>
      </c>
      <c r="E380" s="307">
        <f t="shared" ca="1" si="154"/>
        <v>-24.544730264545983</v>
      </c>
      <c r="F380" s="304">
        <f t="shared" ca="1" si="155"/>
        <v>24.60747111797475</v>
      </c>
      <c r="G380" s="306">
        <f t="shared" ca="1" si="156"/>
        <v>22.427687220669249</v>
      </c>
      <c r="H380" s="307">
        <f t="shared" ca="1" si="157"/>
        <v>188.08472468340622</v>
      </c>
      <c r="I380" s="304">
        <f t="shared" ca="1" si="158"/>
        <v>189.41717137920969</v>
      </c>
      <c r="J380" s="306">
        <f t="shared" ca="1" si="159"/>
        <v>53.208997788898486</v>
      </c>
      <c r="K380" s="307">
        <f t="shared" ca="1" si="160"/>
        <v>482.88112802729916</v>
      </c>
      <c r="L380" s="304">
        <f t="shared" ca="1" si="145"/>
        <v>485.8038505926192</v>
      </c>
      <c r="M380" s="306">
        <f t="shared" ca="1" si="161"/>
        <v>1.4521142435640966</v>
      </c>
      <c r="N380" s="304">
        <f t="shared" ca="1" si="162"/>
        <v>83.200017527054797</v>
      </c>
      <c r="P380" s="310">
        <f t="shared" ca="1" si="163"/>
        <v>23</v>
      </c>
      <c r="Q380" s="304">
        <f t="shared" ca="1" si="164"/>
        <v>0</v>
      </c>
      <c r="R380" s="306">
        <f t="shared" ca="1" si="165"/>
        <v>0</v>
      </c>
      <c r="S380" s="307">
        <f t="shared" ca="1" si="166"/>
        <v>7.4819999999999904</v>
      </c>
      <c r="T380" s="304">
        <f t="shared" ca="1" si="146"/>
        <v>73.398419999999916</v>
      </c>
      <c r="U380" s="311">
        <f t="shared" ca="1" si="147"/>
        <v>0</v>
      </c>
      <c r="V380" s="306">
        <f t="shared" ca="1" si="148"/>
        <v>1.1672415842638431</v>
      </c>
      <c r="W380" s="304">
        <f t="shared" ca="1" si="149"/>
        <v>110.71700997073287</v>
      </c>
      <c r="Y380" s="314" t="str">
        <f t="shared" ca="1" si="167"/>
        <v/>
      </c>
      <c r="Z380" s="315" t="str">
        <f t="shared" ca="1" si="168"/>
        <v/>
      </c>
      <c r="AA380" s="316" t="str">
        <f t="shared" ca="1" si="169"/>
        <v/>
      </c>
      <c r="AC380" s="310" t="e">
        <f t="shared" ca="1" si="170"/>
        <v>#N/A</v>
      </c>
      <c r="AD380" s="323" t="e">
        <f t="shared" ca="1" si="171"/>
        <v>#N/A</v>
      </c>
      <c r="AE380" s="324">
        <f t="shared" ca="1" si="150"/>
        <v>482.88112802729916</v>
      </c>
      <c r="AG380" s="306">
        <f t="shared" ca="1" si="172"/>
        <v>-24.580070104875631</v>
      </c>
      <c r="AH380" s="304">
        <f t="shared" ca="1" si="173"/>
        <v>-14.839006942230643</v>
      </c>
    </row>
    <row r="381" spans="1:34" x14ac:dyDescent="0.2">
      <c r="A381" s="347">
        <f t="shared" ca="1" si="151"/>
        <v>0.01</v>
      </c>
      <c r="B381" s="304">
        <f t="shared" ca="1" si="152"/>
        <v>3.7699999999999636</v>
      </c>
      <c r="D381" s="306">
        <f t="shared" ca="1" si="153"/>
        <v>-1.7521116959300309</v>
      </c>
      <c r="E381" s="307">
        <f t="shared" ca="1" si="154"/>
        <v>-24.503688328231554</v>
      </c>
      <c r="F381" s="304">
        <f t="shared" ca="1" si="155"/>
        <v>24.566249959693199</v>
      </c>
      <c r="G381" s="306">
        <f t="shared" ca="1" si="156"/>
        <v>22.410166103709948</v>
      </c>
      <c r="H381" s="307">
        <f t="shared" ca="1" si="157"/>
        <v>187.8396878001239</v>
      </c>
      <c r="I381" s="304">
        <f t="shared" ca="1" si="158"/>
        <v>189.17178398916656</v>
      </c>
      <c r="J381" s="306">
        <f t="shared" ca="1" si="159"/>
        <v>53.433187055520385</v>
      </c>
      <c r="K381" s="307">
        <f t="shared" ca="1" si="160"/>
        <v>484.76075008971679</v>
      </c>
      <c r="L381" s="304">
        <f t="shared" ca="1" si="145"/>
        <v>487.69671959779993</v>
      </c>
      <c r="M381" s="306">
        <f t="shared" ca="1" si="161"/>
        <v>1.4520528422321692</v>
      </c>
      <c r="N381" s="304">
        <f t="shared" ca="1" si="162"/>
        <v>83.196499489878875</v>
      </c>
      <c r="P381" s="310">
        <f t="shared" ca="1" si="163"/>
        <v>23</v>
      </c>
      <c r="Q381" s="304">
        <f t="shared" ca="1" si="164"/>
        <v>0</v>
      </c>
      <c r="R381" s="306">
        <f t="shared" ca="1" si="165"/>
        <v>0</v>
      </c>
      <c r="S381" s="307">
        <f t="shared" ca="1" si="166"/>
        <v>7.4819999999999904</v>
      </c>
      <c r="T381" s="304">
        <f t="shared" ca="1" si="146"/>
        <v>73.398419999999916</v>
      </c>
      <c r="U381" s="311">
        <f t="shared" ca="1" si="147"/>
        <v>0</v>
      </c>
      <c r="V381" s="306">
        <f t="shared" ca="1" si="148"/>
        <v>1.1670220791343826</v>
      </c>
      <c r="W381" s="304">
        <f t="shared" ca="1" si="149"/>
        <v>110.4095640702015</v>
      </c>
      <c r="Y381" s="314" t="str">
        <f t="shared" ca="1" si="167"/>
        <v/>
      </c>
      <c r="Z381" s="315" t="str">
        <f t="shared" ca="1" si="168"/>
        <v/>
      </c>
      <c r="AA381" s="316" t="str">
        <f t="shared" ca="1" si="169"/>
        <v/>
      </c>
      <c r="AC381" s="310" t="e">
        <f t="shared" ca="1" si="170"/>
        <v>#N/A</v>
      </c>
      <c r="AD381" s="323" t="e">
        <f t="shared" ca="1" si="171"/>
        <v>#N/A</v>
      </c>
      <c r="AE381" s="324">
        <f t="shared" ca="1" si="150"/>
        <v>484.76075008971679</v>
      </c>
      <c r="AG381" s="306">
        <f t="shared" ca="1" si="172"/>
        <v>-24.538774664362823</v>
      </c>
      <c r="AH381" s="304">
        <f t="shared" ca="1" si="173"/>
        <v>-14.797782674516576</v>
      </c>
    </row>
    <row r="382" spans="1:34" x14ac:dyDescent="0.2">
      <c r="A382" s="347">
        <f t="shared" ca="1" si="151"/>
        <v>0.01</v>
      </c>
      <c r="B382" s="304">
        <f t="shared" ca="1" si="152"/>
        <v>3.7799999999999634</v>
      </c>
      <c r="D382" s="306">
        <f t="shared" ca="1" si="153"/>
        <v>-1.7481460262860726</v>
      </c>
      <c r="E382" s="307">
        <f t="shared" ca="1" si="154"/>
        <v>-24.462778666921253</v>
      </c>
      <c r="F382" s="304">
        <f t="shared" ca="1" si="155"/>
        <v>24.525161663809623</v>
      </c>
      <c r="G382" s="306">
        <f t="shared" ca="1" si="156"/>
        <v>22.392684643447087</v>
      </c>
      <c r="H382" s="307">
        <f t="shared" ca="1" si="157"/>
        <v>187.59506001345468</v>
      </c>
      <c r="I382" s="304">
        <f t="shared" ca="1" si="158"/>
        <v>188.92680822739936</v>
      </c>
      <c r="J382" s="306">
        <f t="shared" ca="1" si="159"/>
        <v>53.657201309256173</v>
      </c>
      <c r="K382" s="307">
        <f t="shared" ca="1" si="160"/>
        <v>486.63792382878466</v>
      </c>
      <c r="L382" s="304">
        <f t="shared" ca="1" si="145"/>
        <v>489.58713643306857</v>
      </c>
      <c r="M382" s="306">
        <f t="shared" ca="1" si="161"/>
        <v>1.451991329624795</v>
      </c>
      <c r="N382" s="304">
        <f t="shared" ca="1" si="162"/>
        <v>83.1929750770895</v>
      </c>
      <c r="P382" s="310">
        <f t="shared" ca="1" si="163"/>
        <v>23</v>
      </c>
      <c r="Q382" s="304">
        <f t="shared" ca="1" si="164"/>
        <v>0</v>
      </c>
      <c r="R382" s="306">
        <f t="shared" ca="1" si="165"/>
        <v>0</v>
      </c>
      <c r="S382" s="307">
        <f t="shared" ca="1" si="166"/>
        <v>7.4819999999999904</v>
      </c>
      <c r="T382" s="304">
        <f t="shared" ca="1" si="146"/>
        <v>73.398419999999916</v>
      </c>
      <c r="U382" s="311">
        <f t="shared" ca="1" si="147"/>
        <v>0</v>
      </c>
      <c r="V382" s="306">
        <f t="shared" ca="1" si="148"/>
        <v>1.1668029001238045</v>
      </c>
      <c r="W382" s="304">
        <f t="shared" ca="1" si="149"/>
        <v>110.10310803381495</v>
      </c>
      <c r="Y382" s="314" t="str">
        <f t="shared" ca="1" si="167"/>
        <v/>
      </c>
      <c r="Z382" s="315" t="str">
        <f t="shared" ca="1" si="168"/>
        <v/>
      </c>
      <c r="AA382" s="316" t="str">
        <f t="shared" ca="1" si="169"/>
        <v/>
      </c>
      <c r="AC382" s="310" t="e">
        <f t="shared" ca="1" si="170"/>
        <v>#N/A</v>
      </c>
      <c r="AD382" s="323" t="e">
        <f t="shared" ca="1" si="171"/>
        <v>#N/A</v>
      </c>
      <c r="AE382" s="324">
        <f t="shared" ca="1" si="150"/>
        <v>486.63792382878466</v>
      </c>
      <c r="AG382" s="306">
        <f t="shared" ca="1" si="172"/>
        <v>-24.497611919788337</v>
      </c>
      <c r="AH382" s="304">
        <f t="shared" ca="1" si="173"/>
        <v>-14.756691268404388</v>
      </c>
    </row>
    <row r="383" spans="1:34" x14ac:dyDescent="0.2">
      <c r="A383" s="347">
        <f t="shared" ca="1" si="151"/>
        <v>0.01</v>
      </c>
      <c r="B383" s="304">
        <f t="shared" ca="1" si="152"/>
        <v>3.7899999999999632</v>
      </c>
      <c r="D383" s="306">
        <f t="shared" ca="1" si="153"/>
        <v>-1.7441926462743129</v>
      </c>
      <c r="E383" s="307">
        <f t="shared" ca="1" si="154"/>
        <v>-24.422000720896463</v>
      </c>
      <c r="F383" s="304">
        <f t="shared" ca="1" si="155"/>
        <v>24.484205668119699</v>
      </c>
      <c r="G383" s="306">
        <f t="shared" ca="1" si="156"/>
        <v>22.375242716984342</v>
      </c>
      <c r="H383" s="307">
        <f t="shared" ca="1" si="157"/>
        <v>187.35084000624573</v>
      </c>
      <c r="I383" s="304">
        <f t="shared" ca="1" si="158"/>
        <v>188.68224277257744</v>
      </c>
      <c r="J383" s="306">
        <f t="shared" ca="1" si="159"/>
        <v>53.881040946058327</v>
      </c>
      <c r="K383" s="307">
        <f t="shared" ca="1" si="160"/>
        <v>488.51265332888318</v>
      </c>
      <c r="L383" s="304">
        <f t="shared" ca="1" si="145"/>
        <v>491.47510520458349</v>
      </c>
      <c r="M383" s="306">
        <f t="shared" ca="1" si="161"/>
        <v>1.451929705529817</v>
      </c>
      <c r="N383" s="304">
        <f t="shared" ca="1" si="162"/>
        <v>83.189444276530935</v>
      </c>
      <c r="P383" s="310">
        <f t="shared" ca="1" si="163"/>
        <v>23</v>
      </c>
      <c r="Q383" s="304">
        <f t="shared" ca="1" si="164"/>
        <v>0</v>
      </c>
      <c r="R383" s="306">
        <f t="shared" ca="1" si="165"/>
        <v>0</v>
      </c>
      <c r="S383" s="307">
        <f t="shared" ca="1" si="166"/>
        <v>7.4819999999999904</v>
      </c>
      <c r="T383" s="304">
        <f t="shared" ca="1" si="146"/>
        <v>73.398419999999916</v>
      </c>
      <c r="U383" s="311">
        <f t="shared" ca="1" si="147"/>
        <v>0</v>
      </c>
      <c r="V383" s="306">
        <f t="shared" ca="1" si="148"/>
        <v>1.1665840465871347</v>
      </c>
      <c r="W383" s="304">
        <f t="shared" ca="1" si="149"/>
        <v>109.79763767776522</v>
      </c>
      <c r="Y383" s="314" t="str">
        <f t="shared" ca="1" si="167"/>
        <v/>
      </c>
      <c r="Z383" s="315" t="str">
        <f t="shared" ca="1" si="168"/>
        <v/>
      </c>
      <c r="AA383" s="316" t="str">
        <f t="shared" ca="1" si="169"/>
        <v/>
      </c>
      <c r="AC383" s="310" t="e">
        <f t="shared" ca="1" si="170"/>
        <v>#N/A</v>
      </c>
      <c r="AD383" s="323" t="e">
        <f t="shared" ca="1" si="171"/>
        <v>#N/A</v>
      </c>
      <c r="AE383" s="324">
        <f t="shared" ca="1" si="150"/>
        <v>488.51265332888318</v>
      </c>
      <c r="AG383" s="306">
        <f t="shared" ca="1" si="172"/>
        <v>-24.456581308509882</v>
      </c>
      <c r="AH383" s="304">
        <f t="shared" ca="1" si="173"/>
        <v>-14.715732161696751</v>
      </c>
    </row>
    <row r="384" spans="1:34" x14ac:dyDescent="0.2">
      <c r="A384" s="347">
        <f t="shared" ca="1" si="151"/>
        <v>0.01</v>
      </c>
      <c r="B384" s="304">
        <f t="shared" ca="1" si="152"/>
        <v>3.799999999999963</v>
      </c>
      <c r="D384" s="306">
        <f t="shared" ca="1" si="153"/>
        <v>-1.7402515033555448</v>
      </c>
      <c r="E384" s="307">
        <f t="shared" ca="1" si="154"/>
        <v>-24.381353933439488</v>
      </c>
      <c r="F384" s="304">
        <f t="shared" ca="1" si="155"/>
        <v>24.443381413433297</v>
      </c>
      <c r="G384" s="306">
        <f t="shared" ca="1" si="156"/>
        <v>22.357840201950786</v>
      </c>
      <c r="H384" s="307">
        <f t="shared" ca="1" si="157"/>
        <v>187.10702646691135</v>
      </c>
      <c r="I384" s="304">
        <f t="shared" ca="1" si="158"/>
        <v>188.43808630896629</v>
      </c>
      <c r="J384" s="306">
        <f t="shared" ca="1" si="159"/>
        <v>54.104706360653005</v>
      </c>
      <c r="K384" s="307">
        <f t="shared" ca="1" si="160"/>
        <v>490.38494266124894</v>
      </c>
      <c r="L384" s="304">
        <f t="shared" ca="1" si="145"/>
        <v>493.36063000532272</v>
      </c>
      <c r="M384" s="306">
        <f t="shared" ca="1" si="161"/>
        <v>1.4518679697344414</v>
      </c>
      <c r="N384" s="304">
        <f t="shared" ca="1" si="162"/>
        <v>83.185907076011034</v>
      </c>
      <c r="P384" s="310">
        <f t="shared" ca="1" si="163"/>
        <v>23</v>
      </c>
      <c r="Q384" s="304">
        <f t="shared" ca="1" si="164"/>
        <v>0</v>
      </c>
      <c r="R384" s="306">
        <f t="shared" ca="1" si="165"/>
        <v>0</v>
      </c>
      <c r="S384" s="307">
        <f t="shared" ca="1" si="166"/>
        <v>7.4819999999999904</v>
      </c>
      <c r="T384" s="304">
        <f t="shared" ca="1" si="146"/>
        <v>73.398419999999916</v>
      </c>
      <c r="U384" s="311">
        <f t="shared" ca="1" si="147"/>
        <v>0</v>
      </c>
      <c r="V384" s="306">
        <f t="shared" ca="1" si="148"/>
        <v>1.1663655178815775</v>
      </c>
      <c r="W384" s="304">
        <f t="shared" ca="1" si="149"/>
        <v>109.49314884065132</v>
      </c>
      <c r="Y384" s="314" t="str">
        <f t="shared" ca="1" si="167"/>
        <v/>
      </c>
      <c r="Z384" s="315" t="str">
        <f t="shared" ca="1" si="168"/>
        <v/>
      </c>
      <c r="AA384" s="316" t="str">
        <f t="shared" ca="1" si="169"/>
        <v/>
      </c>
      <c r="AC384" s="310" t="e">
        <f t="shared" ca="1" si="170"/>
        <v>#N/A</v>
      </c>
      <c r="AD384" s="323" t="e">
        <f t="shared" ca="1" si="171"/>
        <v>#N/A</v>
      </c>
      <c r="AE384" s="324">
        <f t="shared" ca="1" si="150"/>
        <v>490.38494266124894</v>
      </c>
      <c r="AG384" s="306">
        <f t="shared" ca="1" si="172"/>
        <v>-24.415682270897776</v>
      </c>
      <c r="AH384" s="304">
        <f t="shared" ca="1" si="173"/>
        <v>-14.674904795210553</v>
      </c>
    </row>
    <row r="385" spans="1:34" x14ac:dyDescent="0.2">
      <c r="A385" s="347">
        <f t="shared" ca="1" si="151"/>
        <v>0.01</v>
      </c>
      <c r="B385" s="304">
        <f t="shared" ca="1" si="152"/>
        <v>3.8099999999999627</v>
      </c>
      <c r="D385" s="306">
        <f t="shared" ca="1" si="153"/>
        <v>-1.7363225452713342</v>
      </c>
      <c r="E385" s="307">
        <f t="shared" ca="1" si="154"/>
        <v>-24.34083775081422</v>
      </c>
      <c r="F385" s="304">
        <f t="shared" ca="1" si="155"/>
        <v>24.402688343555106</v>
      </c>
      <c r="G385" s="306">
        <f t="shared" ca="1" si="156"/>
        <v>22.340476976498074</v>
      </c>
      <c r="H385" s="307">
        <f t="shared" ca="1" si="157"/>
        <v>186.86361808940322</v>
      </c>
      <c r="I385" s="304">
        <f t="shared" ca="1" si="158"/>
        <v>188.1943375263979</v>
      </c>
      <c r="J385" s="306">
        <f t="shared" ca="1" si="159"/>
        <v>54.328197946545252</v>
      </c>
      <c r="K385" s="307">
        <f t="shared" ca="1" si="160"/>
        <v>492.2547958840305</v>
      </c>
      <c r="L385" s="304">
        <f t="shared" ca="1" si="145"/>
        <v>495.24371491513904</v>
      </c>
      <c r="M385" s="306">
        <f t="shared" ca="1" si="161"/>
        <v>1.451806122025235</v>
      </c>
      <c r="N385" s="304">
        <f t="shared" ca="1" si="162"/>
        <v>83.182363463300959</v>
      </c>
      <c r="P385" s="310">
        <f t="shared" ca="1" si="163"/>
        <v>23</v>
      </c>
      <c r="Q385" s="304">
        <f t="shared" ca="1" si="164"/>
        <v>0</v>
      </c>
      <c r="R385" s="306">
        <f t="shared" ca="1" si="165"/>
        <v>0</v>
      </c>
      <c r="S385" s="307">
        <f t="shared" ca="1" si="166"/>
        <v>7.4819999999999904</v>
      </c>
      <c r="T385" s="304">
        <f t="shared" ca="1" si="146"/>
        <v>73.398419999999916</v>
      </c>
      <c r="U385" s="311">
        <f t="shared" ca="1" si="147"/>
        <v>0</v>
      </c>
      <c r="V385" s="306">
        <f t="shared" ca="1" si="148"/>
        <v>1.1661473133665063</v>
      </c>
      <c r="W385" s="304">
        <f t="shared" ca="1" si="149"/>
        <v>109.18963738333495</v>
      </c>
      <c r="Y385" s="314" t="str">
        <f t="shared" ca="1" si="167"/>
        <v/>
      </c>
      <c r="Z385" s="315" t="str">
        <f t="shared" ca="1" si="168"/>
        <v/>
      </c>
      <c r="AA385" s="316" t="str">
        <f t="shared" ca="1" si="169"/>
        <v/>
      </c>
      <c r="AC385" s="310" t="e">
        <f t="shared" ca="1" si="170"/>
        <v>#N/A</v>
      </c>
      <c r="AD385" s="323" t="e">
        <f t="shared" ca="1" si="171"/>
        <v>#N/A</v>
      </c>
      <c r="AE385" s="324">
        <f t="shared" ca="1" si="150"/>
        <v>492.2547958840305</v>
      </c>
      <c r="AG385" s="306">
        <f t="shared" ca="1" si="172"/>
        <v>-24.374914250315541</v>
      </c>
      <c r="AH385" s="304">
        <f t="shared" ca="1" si="173"/>
        <v>-14.63420861275748</v>
      </c>
    </row>
    <row r="386" spans="1:34" x14ac:dyDescent="0.2">
      <c r="A386" s="347">
        <f t="shared" ca="1" si="151"/>
        <v>0.01</v>
      </c>
      <c r="B386" s="304">
        <f t="shared" ca="1" si="152"/>
        <v>3.8199999999999625</v>
      </c>
      <c r="D386" s="306">
        <f t="shared" ca="1" si="153"/>
        <v>-1.7324057200422163</v>
      </c>
      <c r="E386" s="307">
        <f t="shared" ca="1" si="154"/>
        <v>-24.300451622246925</v>
      </c>
      <c r="F386" s="304">
        <f t="shared" ca="1" si="155"/>
        <v>24.362125905265291</v>
      </c>
      <c r="G386" s="306">
        <f t="shared" ca="1" si="156"/>
        <v>22.323152919297652</v>
      </c>
      <c r="H386" s="307">
        <f t="shared" ca="1" si="157"/>
        <v>186.62061357318075</v>
      </c>
      <c r="I386" s="304">
        <f t="shared" ca="1" si="158"/>
        <v>187.95099512024086</v>
      </c>
      <c r="J386" s="306">
        <f t="shared" ca="1" si="159"/>
        <v>54.55151609602423</v>
      </c>
      <c r="K386" s="307">
        <f t="shared" ca="1" si="160"/>
        <v>494.12221704234344</v>
      </c>
      <c r="L386" s="304">
        <f t="shared" ca="1" si="145"/>
        <v>497.12436400081572</v>
      </c>
      <c r="M386" s="306">
        <f t="shared" ca="1" si="161"/>
        <v>1.4517441621881226</v>
      </c>
      <c r="N386" s="304">
        <f t="shared" ca="1" si="162"/>
        <v>83.178813426135093</v>
      </c>
      <c r="P386" s="310">
        <f t="shared" ca="1" si="163"/>
        <v>23</v>
      </c>
      <c r="Q386" s="304">
        <f t="shared" ca="1" si="164"/>
        <v>0</v>
      </c>
      <c r="R386" s="306">
        <f t="shared" ca="1" si="165"/>
        <v>0</v>
      </c>
      <c r="S386" s="307">
        <f t="shared" ca="1" si="166"/>
        <v>7.4819999999999904</v>
      </c>
      <c r="T386" s="304">
        <f t="shared" ca="1" si="146"/>
        <v>73.398419999999916</v>
      </c>
      <c r="U386" s="311">
        <f t="shared" ca="1" si="147"/>
        <v>0</v>
      </c>
      <c r="V386" s="306">
        <f t="shared" ca="1" si="148"/>
        <v>1.165929432403451</v>
      </c>
      <c r="W386" s="304">
        <f t="shared" ca="1" si="149"/>
        <v>108.88709918879719</v>
      </c>
      <c r="Y386" s="314" t="str">
        <f t="shared" ca="1" si="167"/>
        <v/>
      </c>
      <c r="Z386" s="315" t="str">
        <f t="shared" ca="1" si="168"/>
        <v/>
      </c>
      <c r="AA386" s="316" t="str">
        <f t="shared" ca="1" si="169"/>
        <v/>
      </c>
      <c r="AC386" s="310" t="e">
        <f t="shared" ca="1" si="170"/>
        <v>#N/A</v>
      </c>
      <c r="AD386" s="323" t="e">
        <f t="shared" ca="1" si="171"/>
        <v>#N/A</v>
      </c>
      <c r="AE386" s="324">
        <f t="shared" ca="1" si="150"/>
        <v>494.12221704234344</v>
      </c>
      <c r="AG386" s="306">
        <f t="shared" ca="1" si="172"/>
        <v>-24.334276693100559</v>
      </c>
      <c r="AH386" s="304">
        <f t="shared" ca="1" si="173"/>
        <v>-14.593643061124713</v>
      </c>
    </row>
    <row r="387" spans="1:34" x14ac:dyDescent="0.2">
      <c r="A387" s="347">
        <f t="shared" ca="1" si="151"/>
        <v>0.01</v>
      </c>
      <c r="B387" s="304">
        <f t="shared" ca="1" si="152"/>
        <v>3.8299999999999623</v>
      </c>
      <c r="D387" s="306">
        <f t="shared" ca="1" si="153"/>
        <v>-1.7285009759659005</v>
      </c>
      <c r="E387" s="307">
        <f t="shared" ca="1" si="154"/>
        <v>-24.260194999907167</v>
      </c>
      <c r="F387" s="304">
        <f t="shared" ca="1" si="155"/>
        <v>24.32169354830037</v>
      </c>
      <c r="G387" s="306">
        <f t="shared" ca="1" si="156"/>
        <v>22.305867909537994</v>
      </c>
      <c r="H387" s="307">
        <f t="shared" ca="1" si="157"/>
        <v>186.37801162318166</v>
      </c>
      <c r="I387" s="304">
        <f t="shared" ca="1" si="158"/>
        <v>187.70805779137078</v>
      </c>
      <c r="J387" s="306">
        <f t="shared" ca="1" si="159"/>
        <v>54.77466120016841</v>
      </c>
      <c r="K387" s="307">
        <f t="shared" ca="1" si="160"/>
        <v>495.98721016832525</v>
      </c>
      <c r="L387" s="304">
        <f t="shared" ca="1" si="145"/>
        <v>499.00258131612071</v>
      </c>
      <c r="M387" s="306">
        <f t="shared" ca="1" si="161"/>
        <v>1.4516820900083867</v>
      </c>
      <c r="N387" s="304">
        <f t="shared" ca="1" si="162"/>
        <v>83.175256952211043</v>
      </c>
      <c r="P387" s="310">
        <f t="shared" ca="1" si="163"/>
        <v>23</v>
      </c>
      <c r="Q387" s="304">
        <f t="shared" ca="1" si="164"/>
        <v>0</v>
      </c>
      <c r="R387" s="306">
        <f t="shared" ca="1" si="165"/>
        <v>0</v>
      </c>
      <c r="S387" s="307">
        <f t="shared" ca="1" si="166"/>
        <v>7.4819999999999904</v>
      </c>
      <c r="T387" s="304">
        <f t="shared" ca="1" si="146"/>
        <v>73.398419999999916</v>
      </c>
      <c r="U387" s="311">
        <f t="shared" ca="1" si="147"/>
        <v>0</v>
      </c>
      <c r="V387" s="306">
        <f t="shared" ca="1" si="148"/>
        <v>1.1657118743560917</v>
      </c>
      <c r="W387" s="304">
        <f t="shared" ca="1" si="149"/>
        <v>108.58553016199636</v>
      </c>
      <c r="Y387" s="314" t="str">
        <f t="shared" ca="1" si="167"/>
        <v/>
      </c>
      <c r="Z387" s="315" t="str">
        <f t="shared" ca="1" si="168"/>
        <v/>
      </c>
      <c r="AA387" s="316" t="str">
        <f t="shared" ca="1" si="169"/>
        <v/>
      </c>
      <c r="AC387" s="310" t="e">
        <f t="shared" ca="1" si="170"/>
        <v>#N/A</v>
      </c>
      <c r="AD387" s="323" t="e">
        <f t="shared" ca="1" si="171"/>
        <v>#N/A</v>
      </c>
      <c r="AE387" s="324">
        <f t="shared" ca="1" si="150"/>
        <v>495.98721016832525</v>
      </c>
      <c r="AG387" s="306">
        <f t="shared" ca="1" si="172"/>
        <v>-24.293769048544945</v>
      </c>
      <c r="AH387" s="304">
        <f t="shared" ca="1" si="173"/>
        <v>-14.553207590055779</v>
      </c>
    </row>
    <row r="388" spans="1:34" x14ac:dyDescent="0.2">
      <c r="A388" s="347">
        <f t="shared" ca="1" si="151"/>
        <v>0.01</v>
      </c>
      <c r="B388" s="304">
        <f t="shared" ca="1" si="152"/>
        <v>3.8399999999999621</v>
      </c>
      <c r="D388" s="306">
        <f t="shared" ca="1" si="153"/>
        <v>-1.7246082616154728</v>
      </c>
      <c r="E388" s="307">
        <f t="shared" ca="1" si="154"/>
        <v>-24.220067338888917</v>
      </c>
      <c r="F388" s="304">
        <f t="shared" ca="1" si="155"/>
        <v>24.281390725334205</v>
      </c>
      <c r="G388" s="306">
        <f t="shared" ca="1" si="156"/>
        <v>22.28862182692184</v>
      </c>
      <c r="H388" s="307">
        <f t="shared" ca="1" si="157"/>
        <v>186.13581094979278</v>
      </c>
      <c r="I388" s="304">
        <f t="shared" ca="1" si="158"/>
        <v>187.46552424614117</v>
      </c>
      <c r="J388" s="306">
        <f t="shared" ca="1" si="159"/>
        <v>54.997633648850709</v>
      </c>
      <c r="K388" s="307">
        <f t="shared" ca="1" si="160"/>
        <v>497.84977928119014</v>
      </c>
      <c r="L388" s="304">
        <f t="shared" ref="L388:L451" ca="1" si="174">SQRT(pos_x^2+pos_z^2)</f>
        <v>500.87837090186173</v>
      </c>
      <c r="M388" s="306">
        <f t="shared" ca="1" si="161"/>
        <v>1.4516199052706626</v>
      </c>
      <c r="N388" s="304">
        <f t="shared" ca="1" si="162"/>
        <v>83.171694029189339</v>
      </c>
      <c r="P388" s="310">
        <f t="shared" ca="1" si="163"/>
        <v>23</v>
      </c>
      <c r="Q388" s="304">
        <f t="shared" ca="1" si="164"/>
        <v>0</v>
      </c>
      <c r="R388" s="306">
        <f t="shared" ca="1" si="165"/>
        <v>0</v>
      </c>
      <c r="S388" s="307">
        <f t="shared" ca="1" si="166"/>
        <v>7.4819999999999904</v>
      </c>
      <c r="T388" s="304">
        <f t="shared" ref="T388:T451" ca="1" si="175">m*g</f>
        <v>73.398419999999916</v>
      </c>
      <c r="U388" s="311">
        <f t="shared" ref="U388:U451" ca="1" si="176">IF(pos_xz&lt;L_rampe,Poids*COS(Beta),0)</f>
        <v>0</v>
      </c>
      <c r="V388" s="306">
        <f t="shared" ref="V388:V451" ca="1" si="177">Rho_moyen*(20000-Alt_rampe-pos_z)/(20000+Alt_rampe+pos_z)</f>
        <v>1.1654946385902489</v>
      </c>
      <c r="W388" s="304">
        <f t="shared" ref="W388:W451" ca="1" si="178">1/2*Rho*Sref*Cx*vit_xz^2</f>
        <v>108.28492622972723</v>
      </c>
      <c r="Y388" s="314" t="str">
        <f t="shared" ca="1" si="167"/>
        <v/>
      </c>
      <c r="Z388" s="315" t="str">
        <f t="shared" ca="1" si="168"/>
        <v/>
      </c>
      <c r="AA388" s="316" t="str">
        <f t="shared" ca="1" si="169"/>
        <v/>
      </c>
      <c r="AC388" s="310" t="e">
        <f t="shared" ca="1" si="170"/>
        <v>#N/A</v>
      </c>
      <c r="AD388" s="323" t="e">
        <f t="shared" ca="1" si="171"/>
        <v>#N/A</v>
      </c>
      <c r="AE388" s="324">
        <f t="shared" ref="AE388:AE451" ca="1" si="179">IF(t&lt;T_para, pos_z, NA())</f>
        <v>497.84977928119014</v>
      </c>
      <c r="AG388" s="306">
        <f t="shared" ca="1" si="172"/>
        <v>-24.253390768876528</v>
      </c>
      <c r="AH388" s="304">
        <f t="shared" ca="1" si="173"/>
        <v>-14.512901652231555</v>
      </c>
    </row>
    <row r="389" spans="1:34" x14ac:dyDescent="0.2">
      <c r="A389" s="347">
        <f t="shared" ref="A389:A452" ca="1" si="180">IF(B388+0.01&lt;=T_ini+ROUNDUP(Temps_fin_propu,0), 0.01, IF(K388&gt;0, 0.1, 0.0001))</f>
        <v>0.01</v>
      </c>
      <c r="B389" s="304">
        <f t="shared" ref="B389:B452" ca="1" si="181">B388+pas</f>
        <v>3.8499999999999619</v>
      </c>
      <c r="D389" s="306">
        <f t="shared" ref="D389:D452" ca="1" si="182">IF(AND(L388&lt;L_rampe,Poussee&lt;Poids*SIN(M388)),0,(-W388+Poussee)/m*COS(M388)-U388/m*SIN(M388))</f>
        <v>-1.7207275258376546</v>
      </c>
      <c r="E389" s="307">
        <f t="shared" ref="E389:E452" ca="1" si="183">IF(AND(L388&lt;L_rampe,Poussee&lt;Poids*SIN(M388)),0,(-W388+Poussee)/m*SIN(M388)+U388/m*COS(M388)-Poids/m)</f>
        <v>-24.1800680971918</v>
      </c>
      <c r="F389" s="304">
        <f t="shared" ref="F389:F452" ca="1" si="184">SQRT(acc_x^2+acc_z^2)</f>
        <v>24.241216891959201</v>
      </c>
      <c r="G389" s="306">
        <f t="shared" ref="G389:G452" ca="1" si="185">G388+acc_x*pas</f>
        <v>22.271414551663465</v>
      </c>
      <c r="H389" s="307">
        <f t="shared" ref="H389:H452" ca="1" si="186">H388+acc_z*pas</f>
        <v>185.89401026882086</v>
      </c>
      <c r="I389" s="304">
        <f t="shared" ref="I389:I452" ca="1" si="187">SQRT(vit_x^2+vit_z^2)</f>
        <v>187.22339319635387</v>
      </c>
      <c r="J389" s="306">
        <f t="shared" ref="J389:J452" ca="1" si="188">J388+0.5*(vit_x+G388)*pas*(K388&gt;=0)</f>
        <v>55.220433830743637</v>
      </c>
      <c r="K389" s="307">
        <f t="shared" ref="K389:K452" ca="1" si="189">K388+0.5*(vit_z+H388)*pas</f>
        <v>499.70992838728318</v>
      </c>
      <c r="L389" s="304">
        <f t="shared" ca="1" si="174"/>
        <v>502.75173678594012</v>
      </c>
      <c r="M389" s="306">
        <f t="shared" ref="M389:M452" ca="1" si="190">IF(AND(L388&gt;L_rampe,G389&gt;0),ATAN2(G389,H389),$M$4)</f>
        <v>1.4515576077589389</v>
      </c>
      <c r="N389" s="304">
        <f t="shared" ref="N389:N452" ca="1" si="191">DEGREES(Beta)</f>
        <v>83.168124644693407</v>
      </c>
      <c r="P389" s="310">
        <f t="shared" ref="P389:P452" ca="1" si="192">MATCH(t-pas/2-T_ini,CdP_t)</f>
        <v>23</v>
      </c>
      <c r="Q389" s="304">
        <f t="shared" ref="Q389:Q452" ca="1" si="193">(INDEX(CdP,2,i_P+1)-INDEX(CdP,2,i_P+0))/(INDEX(CdP,1,i_P+1)-INDEX(CdP,1,i_P+0))*(t-pas/2-T_ini-INDEX(CdP,1,i_P+0))+INDEX(CdP,2,i_P+0)</f>
        <v>0</v>
      </c>
      <c r="R389" s="306">
        <f t="shared" ref="R389:R452" ca="1" si="194">Poussee/(g*ISP)</f>
        <v>0</v>
      </c>
      <c r="S389" s="307">
        <f t="shared" ref="S389:S452" ca="1" si="195">S388-Débit*pas</f>
        <v>7.4819999999999904</v>
      </c>
      <c r="T389" s="304">
        <f t="shared" ca="1" si="175"/>
        <v>73.398419999999916</v>
      </c>
      <c r="U389" s="311">
        <f t="shared" ca="1" si="176"/>
        <v>0</v>
      </c>
      <c r="V389" s="306">
        <f t="shared" ca="1" si="177"/>
        <v>1.1652777244738721</v>
      </c>
      <c r="W389" s="304">
        <f t="shared" ca="1" si="178"/>
        <v>107.98528334048031</v>
      </c>
      <c r="Y389" s="314" t="str">
        <f t="shared" ref="Y389:Y452" ca="1" si="196">IF(AND(pos_z&lt;=0,K388&gt;0),"Impact balistique","") &amp; IF(AND(H390&lt;0,vit_z&gt;=0),"Apogée","") &amp; IF(AND(Poussee=0,Q388&gt;0),"Fin de propulsion","") &amp; IF(AND(L390&gt;L_rampe,pos_xz&lt;=L_rampe),"Sortie de rampe","")</f>
        <v/>
      </c>
      <c r="Z389" s="315" t="str">
        <f t="shared" ref="Z389:Z452" ca="1" si="197">IF(ABS(t-T_para)&lt;pas/2,"Para","")</f>
        <v/>
      </c>
      <c r="AA389" s="316" t="str">
        <f t="shared" ref="AA389:AA452" ca="1" si="198">IF(ABS(t-T_satellite)&lt;pas/2,"Satellite","")</f>
        <v/>
      </c>
      <c r="AC389" s="310" t="e">
        <f t="shared" ref="AC389:AC452" ca="1" si="199">IF(ABS(t-ROUND(t,0))&lt;0.001,t,NA())</f>
        <v>#N/A</v>
      </c>
      <c r="AD389" s="323" t="e">
        <f t="shared" ref="AD389:AD452" ca="1" si="200">IF(ABS(t-ROUND(t,0))&lt;0.001,pos_x,NA())</f>
        <v>#N/A</v>
      </c>
      <c r="AE389" s="324">
        <f t="shared" ca="1" si="179"/>
        <v>499.70992838728318</v>
      </c>
      <c r="AG389" s="306">
        <f t="shared" ref="AG389:AG452" ca="1" si="201">IF(AND(L388&lt;L_rampe,Poussee&lt;Poids*SIN(M388)),0,(-W388+Poussee)/m-Poids*SIN(M388)/m)</f>
        <v>-24.213141309240029</v>
      </c>
      <c r="AH389" s="304">
        <f t="shared" ref="AH389:AH452" ca="1" si="202">IF(AND(L388&lt;L_rampe,Poussee&lt;Poids*SIN(M388)), g*SIN(M388), (-W388+Poussee)/m)</f>
        <v>-14.472724703251453</v>
      </c>
    </row>
    <row r="390" spans="1:34" x14ac:dyDescent="0.2">
      <c r="A390" s="347">
        <f t="shared" ca="1" si="180"/>
        <v>0.01</v>
      </c>
      <c r="B390" s="304">
        <f t="shared" ca="1" si="181"/>
        <v>3.8599999999999617</v>
      </c>
      <c r="D390" s="306">
        <f t="shared" ca="1" si="182"/>
        <v>-1.7168587177510146</v>
      </c>
      <c r="E390" s="307">
        <f t="shared" ca="1" si="183"/>
        <v>-24.140196735702368</v>
      </c>
      <c r="F390" s="304">
        <f t="shared" ca="1" si="184"/>
        <v>24.20117150666746</v>
      </c>
      <c r="G390" s="306">
        <f t="shared" ca="1" si="185"/>
        <v>22.254245964485953</v>
      </c>
      <c r="H390" s="307">
        <f t="shared" ca="1" si="186"/>
        <v>185.65260830146383</v>
      </c>
      <c r="I390" s="304">
        <f t="shared" ca="1" si="187"/>
        <v>186.98166335923051</v>
      </c>
      <c r="J390" s="306">
        <f t="shared" ca="1" si="188"/>
        <v>55.443062133324382</v>
      </c>
      <c r="K390" s="307">
        <f t="shared" ca="1" si="189"/>
        <v>501.56766148013463</v>
      </c>
      <c r="L390" s="304">
        <f t="shared" ca="1" si="174"/>
        <v>504.62268298340553</v>
      </c>
      <c r="M390" s="306">
        <f t="shared" ca="1" si="190"/>
        <v>1.4514951972565531</v>
      </c>
      <c r="N390" s="304">
        <f t="shared" ca="1" si="191"/>
        <v>83.164548786309396</v>
      </c>
      <c r="P390" s="310">
        <f t="shared" ca="1" si="192"/>
        <v>23</v>
      </c>
      <c r="Q390" s="304">
        <f t="shared" ca="1" si="193"/>
        <v>0</v>
      </c>
      <c r="R390" s="306">
        <f t="shared" ca="1" si="194"/>
        <v>0</v>
      </c>
      <c r="S390" s="307">
        <f t="shared" ca="1" si="195"/>
        <v>7.4819999999999904</v>
      </c>
      <c r="T390" s="304">
        <f t="shared" ca="1" si="175"/>
        <v>73.398419999999916</v>
      </c>
      <c r="U390" s="311">
        <f t="shared" ca="1" si="176"/>
        <v>0</v>
      </c>
      <c r="V390" s="306">
        <f t="shared" ca="1" si="177"/>
        <v>1.1650611313770329</v>
      </c>
      <c r="W390" s="304">
        <f t="shared" ca="1" si="178"/>
        <v>107.6865974643037</v>
      </c>
      <c r="Y390" s="314" t="str">
        <f t="shared" ca="1" si="196"/>
        <v/>
      </c>
      <c r="Z390" s="315" t="str">
        <f t="shared" ca="1" si="197"/>
        <v/>
      </c>
      <c r="AA390" s="316" t="str">
        <f t="shared" ca="1" si="198"/>
        <v/>
      </c>
      <c r="AC390" s="310" t="e">
        <f t="shared" ca="1" si="199"/>
        <v>#N/A</v>
      </c>
      <c r="AD390" s="323" t="e">
        <f t="shared" ca="1" si="200"/>
        <v>#N/A</v>
      </c>
      <c r="AE390" s="324">
        <f t="shared" ca="1" si="179"/>
        <v>501.56766148013463</v>
      </c>
      <c r="AG390" s="306">
        <f t="shared" ca="1" si="201"/>
        <v>-24.173020127678257</v>
      </c>
      <c r="AH390" s="304">
        <f t="shared" ca="1" si="202"/>
        <v>-14.432676201614601</v>
      </c>
    </row>
    <row r="391" spans="1:34" x14ac:dyDescent="0.2">
      <c r="A391" s="347">
        <f t="shared" ca="1" si="180"/>
        <v>0.01</v>
      </c>
      <c r="B391" s="304">
        <f t="shared" ca="1" si="181"/>
        <v>3.8699999999999615</v>
      </c>
      <c r="D391" s="306">
        <f t="shared" ca="1" si="182"/>
        <v>-1.7130017867442588</v>
      </c>
      <c r="E391" s="307">
        <f t="shared" ca="1" si="183"/>
        <v>-24.100452718175745</v>
      </c>
      <c r="F391" s="304">
        <f t="shared" ca="1" si="184"/>
        <v>24.161254030832378</v>
      </c>
      <c r="G391" s="306">
        <f t="shared" ca="1" si="185"/>
        <v>22.237115946618509</v>
      </c>
      <c r="H391" s="307">
        <f t="shared" ca="1" si="186"/>
        <v>185.41160377428207</v>
      </c>
      <c r="I391" s="304">
        <f t="shared" ca="1" si="187"/>
        <v>186.74033345738334</v>
      </c>
      <c r="J391" s="306">
        <f t="shared" ca="1" si="188"/>
        <v>55.665518942879906</v>
      </c>
      <c r="K391" s="307">
        <f t="shared" ca="1" si="189"/>
        <v>503.42298254051337</v>
      </c>
      <c r="L391" s="304">
        <f t="shared" ca="1" si="174"/>
        <v>506.49121349650886</v>
      </c>
      <c r="M391" s="306">
        <f t="shared" ca="1" si="190"/>
        <v>1.4514326735461907</v>
      </c>
      <c r="N391" s="304">
        <f t="shared" ca="1" si="191"/>
        <v>83.16096644158614</v>
      </c>
      <c r="P391" s="310">
        <f t="shared" ca="1" si="192"/>
        <v>23</v>
      </c>
      <c r="Q391" s="304">
        <f t="shared" ca="1" si="193"/>
        <v>0</v>
      </c>
      <c r="R391" s="306">
        <f t="shared" ca="1" si="194"/>
        <v>0</v>
      </c>
      <c r="S391" s="307">
        <f t="shared" ca="1" si="195"/>
        <v>7.4819999999999904</v>
      </c>
      <c r="T391" s="304">
        <f t="shared" ca="1" si="175"/>
        <v>73.398419999999916</v>
      </c>
      <c r="U391" s="311">
        <f t="shared" ca="1" si="176"/>
        <v>0</v>
      </c>
      <c r="V391" s="306">
        <f t="shared" ca="1" si="177"/>
        <v>1.1648448586719138</v>
      </c>
      <c r="W391" s="304">
        <f t="shared" ca="1" si="178"/>
        <v>107.3888645926644</v>
      </c>
      <c r="Y391" s="314" t="str">
        <f t="shared" ca="1" si="196"/>
        <v/>
      </c>
      <c r="Z391" s="315" t="str">
        <f t="shared" ca="1" si="197"/>
        <v/>
      </c>
      <c r="AA391" s="316" t="str">
        <f t="shared" ca="1" si="198"/>
        <v/>
      </c>
      <c r="AC391" s="310" t="e">
        <f t="shared" ca="1" si="199"/>
        <v>#N/A</v>
      </c>
      <c r="AD391" s="323" t="e">
        <f t="shared" ca="1" si="200"/>
        <v>#N/A</v>
      </c>
      <c r="AE391" s="324">
        <f t="shared" ca="1" si="179"/>
        <v>503.42298254051337</v>
      </c>
      <c r="AG391" s="306">
        <f t="shared" ca="1" si="201"/>
        <v>-24.13302668511362</v>
      </c>
      <c r="AH391" s="304">
        <f t="shared" ca="1" si="202"/>
        <v>-14.392755608701396</v>
      </c>
    </row>
    <row r="392" spans="1:34" x14ac:dyDescent="0.2">
      <c r="A392" s="347">
        <f t="shared" ca="1" si="180"/>
        <v>0.01</v>
      </c>
      <c r="B392" s="304">
        <f t="shared" ca="1" si="181"/>
        <v>3.8799999999999613</v>
      </c>
      <c r="D392" s="306">
        <f t="shared" ca="1" si="182"/>
        <v>-1.7091566824744731</v>
      </c>
      <c r="E392" s="307">
        <f t="shared" ca="1" si="183"/>
        <v>-24.060835511217128</v>
      </c>
      <c r="F392" s="304">
        <f t="shared" ca="1" si="184"/>
        <v>24.121463928690034</v>
      </c>
      <c r="G392" s="306">
        <f t="shared" ca="1" si="185"/>
        <v>22.220024379793763</v>
      </c>
      <c r="H392" s="307">
        <f t="shared" ca="1" si="186"/>
        <v>185.17099541916991</v>
      </c>
      <c r="I392" s="304">
        <f t="shared" ca="1" si="187"/>
        <v>186.49940221878694</v>
      </c>
      <c r="J392" s="306">
        <f t="shared" ca="1" si="188"/>
        <v>55.887804644511967</v>
      </c>
      <c r="K392" s="307">
        <f t="shared" ca="1" si="189"/>
        <v>505.27589553648062</v>
      </c>
      <c r="L392" s="304">
        <f t="shared" ca="1" si="174"/>
        <v>508.35733231475632</v>
      </c>
      <c r="M392" s="306">
        <f t="shared" ca="1" si="190"/>
        <v>1.4513700364098825</v>
      </c>
      <c r="N392" s="304">
        <f t="shared" ca="1" si="191"/>
        <v>83.157377598034884</v>
      </c>
      <c r="P392" s="310">
        <f t="shared" ca="1" si="192"/>
        <v>23</v>
      </c>
      <c r="Q392" s="304">
        <f t="shared" ca="1" si="193"/>
        <v>0</v>
      </c>
      <c r="R392" s="306">
        <f t="shared" ca="1" si="194"/>
        <v>0</v>
      </c>
      <c r="S392" s="307">
        <f t="shared" ca="1" si="195"/>
        <v>7.4819999999999904</v>
      </c>
      <c r="T392" s="304">
        <f t="shared" ca="1" si="175"/>
        <v>73.398419999999916</v>
      </c>
      <c r="U392" s="311">
        <f t="shared" ca="1" si="176"/>
        <v>0</v>
      </c>
      <c r="V392" s="306">
        <f t="shared" ca="1" si="177"/>
        <v>1.1646289057328001</v>
      </c>
      <c r="W392" s="304">
        <f t="shared" ca="1" si="178"/>
        <v>107.09208073831198</v>
      </c>
      <c r="Y392" s="314" t="str">
        <f t="shared" ca="1" si="196"/>
        <v/>
      </c>
      <c r="Z392" s="315" t="str">
        <f t="shared" ca="1" si="197"/>
        <v/>
      </c>
      <c r="AA392" s="316" t="str">
        <f t="shared" ca="1" si="198"/>
        <v/>
      </c>
      <c r="AC392" s="310" t="e">
        <f t="shared" ca="1" si="199"/>
        <v>#N/A</v>
      </c>
      <c r="AD392" s="323" t="e">
        <f t="shared" ca="1" si="200"/>
        <v>#N/A</v>
      </c>
      <c r="AE392" s="324">
        <f t="shared" ca="1" si="179"/>
        <v>505.27589553648062</v>
      </c>
      <c r="AG392" s="306">
        <f t="shared" ca="1" si="201"/>
        <v>-24.093160445329602</v>
      </c>
      <c r="AH392" s="304">
        <f t="shared" ca="1" si="202"/>
        <v>-14.352962388754952</v>
      </c>
    </row>
    <row r="393" spans="1:34" x14ac:dyDescent="0.2">
      <c r="A393" s="347">
        <f t="shared" ca="1" si="180"/>
        <v>0.01</v>
      </c>
      <c r="B393" s="304">
        <f t="shared" ca="1" si="181"/>
        <v>3.889999999999961</v>
      </c>
      <c r="D393" s="306">
        <f t="shared" ca="1" si="182"/>
        <v>-1.7053233548654247</v>
      </c>
      <c r="E393" s="307">
        <f t="shared" ca="1" si="183"/>
        <v>-24.021344584263687</v>
      </c>
      <c r="F393" s="304">
        <f t="shared" ca="1" si="184"/>
        <v>24.081800667321037</v>
      </c>
      <c r="G393" s="306">
        <f t="shared" ca="1" si="185"/>
        <v>22.202971146245108</v>
      </c>
      <c r="H393" s="307">
        <f t="shared" ca="1" si="186"/>
        <v>184.93078197332727</v>
      </c>
      <c r="I393" s="304">
        <f t="shared" ca="1" si="187"/>
        <v>186.25886837674952</v>
      </c>
      <c r="J393" s="306">
        <f t="shared" ca="1" si="188"/>
        <v>56.109919622142158</v>
      </c>
      <c r="K393" s="307">
        <f t="shared" ca="1" si="189"/>
        <v>507.12640442344309</v>
      </c>
      <c r="L393" s="304">
        <f t="shared" ca="1" si="174"/>
        <v>510.22104341496225</v>
      </c>
      <c r="M393" s="306">
        <f t="shared" ca="1" si="190"/>
        <v>1.4513072856290028</v>
      </c>
      <c r="N393" s="304">
        <f t="shared" ca="1" si="191"/>
        <v>83.153782243129328</v>
      </c>
      <c r="P393" s="310">
        <f t="shared" ca="1" si="192"/>
        <v>23</v>
      </c>
      <c r="Q393" s="304">
        <f t="shared" ca="1" si="193"/>
        <v>0</v>
      </c>
      <c r="R393" s="306">
        <f t="shared" ca="1" si="194"/>
        <v>0</v>
      </c>
      <c r="S393" s="307">
        <f t="shared" ca="1" si="195"/>
        <v>7.4819999999999904</v>
      </c>
      <c r="T393" s="304">
        <f t="shared" ca="1" si="175"/>
        <v>73.398419999999916</v>
      </c>
      <c r="U393" s="311">
        <f t="shared" ca="1" si="176"/>
        <v>0</v>
      </c>
      <c r="V393" s="306">
        <f t="shared" ca="1" si="177"/>
        <v>1.1644132719360705</v>
      </c>
      <c r="W393" s="304">
        <f t="shared" ca="1" si="178"/>
        <v>106.79624193514228</v>
      </c>
      <c r="Y393" s="314" t="str">
        <f t="shared" ca="1" si="196"/>
        <v/>
      </c>
      <c r="Z393" s="315" t="str">
        <f t="shared" ca="1" si="197"/>
        <v/>
      </c>
      <c r="AA393" s="316" t="str">
        <f t="shared" ca="1" si="198"/>
        <v/>
      </c>
      <c r="AC393" s="310" t="e">
        <f t="shared" ca="1" si="199"/>
        <v>#N/A</v>
      </c>
      <c r="AD393" s="323" t="e">
        <f t="shared" ca="1" si="200"/>
        <v>#N/A</v>
      </c>
      <c r="AE393" s="324">
        <f t="shared" ca="1" si="179"/>
        <v>507.12640442344309</v>
      </c>
      <c r="AG393" s="306">
        <f t="shared" ca="1" si="201"/>
        <v>-24.053420874952508</v>
      </c>
      <c r="AH393" s="304">
        <f t="shared" ca="1" si="202"/>
        <v>-14.313296008862887</v>
      </c>
    </row>
    <row r="394" spans="1:34" x14ac:dyDescent="0.2">
      <c r="A394" s="347">
        <f t="shared" ca="1" si="180"/>
        <v>0.01</v>
      </c>
      <c r="B394" s="304">
        <f t="shared" ca="1" si="181"/>
        <v>3.8999999999999608</v>
      </c>
      <c r="D394" s="306">
        <f t="shared" ca="1" si="182"/>
        <v>-1.7015017541058495</v>
      </c>
      <c r="E394" s="307">
        <f t="shared" ca="1" si="183"/>
        <v>-23.981979409566407</v>
      </c>
      <c r="F394" s="304">
        <f t="shared" ca="1" si="184"/>
        <v>24.042263716632267</v>
      </c>
      <c r="G394" s="306">
        <f t="shared" ca="1" si="185"/>
        <v>22.185956128704049</v>
      </c>
      <c r="H394" s="307">
        <f t="shared" ca="1" si="186"/>
        <v>184.6909621792316</v>
      </c>
      <c r="I394" s="304">
        <f t="shared" ca="1" si="187"/>
        <v>186.0187306698848</v>
      </c>
      <c r="J394" s="306">
        <f t="shared" ca="1" si="188"/>
        <v>56.331864258516902</v>
      </c>
      <c r="K394" s="307">
        <f t="shared" ca="1" si="189"/>
        <v>508.9745131442059</v>
      </c>
      <c r="L394" s="304">
        <f t="shared" ca="1" si="174"/>
        <v>512.08235076130222</v>
      </c>
      <c r="M394" s="306">
        <f t="shared" ca="1" si="190"/>
        <v>1.4512444209842668</v>
      </c>
      <c r="N394" s="304">
        <f t="shared" ca="1" si="191"/>
        <v>83.150180364305371</v>
      </c>
      <c r="P394" s="310">
        <f t="shared" ca="1" si="192"/>
        <v>23</v>
      </c>
      <c r="Q394" s="304">
        <f t="shared" ca="1" si="193"/>
        <v>0</v>
      </c>
      <c r="R394" s="306">
        <f t="shared" ca="1" si="194"/>
        <v>0</v>
      </c>
      <c r="S394" s="307">
        <f t="shared" ca="1" si="195"/>
        <v>7.4819999999999904</v>
      </c>
      <c r="T394" s="304">
        <f t="shared" ca="1" si="175"/>
        <v>73.398419999999916</v>
      </c>
      <c r="U394" s="311">
        <f t="shared" ca="1" si="176"/>
        <v>0</v>
      </c>
      <c r="V394" s="306">
        <f t="shared" ca="1" si="177"/>
        <v>1.1641979566601874</v>
      </c>
      <c r="W394" s="304">
        <f t="shared" ca="1" si="178"/>
        <v>106.50134423806277</v>
      </c>
      <c r="Y394" s="314" t="str">
        <f t="shared" ca="1" si="196"/>
        <v/>
      </c>
      <c r="Z394" s="315" t="str">
        <f t="shared" ca="1" si="197"/>
        <v/>
      </c>
      <c r="AA394" s="316" t="str">
        <f t="shared" ca="1" si="198"/>
        <v/>
      </c>
      <c r="AC394" s="310" t="e">
        <f t="shared" ca="1" si="199"/>
        <v>#N/A</v>
      </c>
      <c r="AD394" s="323" t="e">
        <f t="shared" ca="1" si="200"/>
        <v>#N/A</v>
      </c>
      <c r="AE394" s="324">
        <f t="shared" ca="1" si="179"/>
        <v>508.9745131442059</v>
      </c>
      <c r="AG394" s="306">
        <f t="shared" ca="1" si="201"/>
        <v>-24.013807443433279</v>
      </c>
      <c r="AH394" s="304">
        <f t="shared" ca="1" si="202"/>
        <v>-14.273755938939109</v>
      </c>
    </row>
    <row r="395" spans="1:34" x14ac:dyDescent="0.2">
      <c r="A395" s="347">
        <f t="shared" ca="1" si="180"/>
        <v>0.01</v>
      </c>
      <c r="B395" s="304">
        <f t="shared" ca="1" si="181"/>
        <v>3.9099999999999606</v>
      </c>
      <c r="D395" s="306">
        <f t="shared" ca="1" si="182"/>
        <v>-1.697691830647762</v>
      </c>
      <c r="E395" s="307">
        <f t="shared" ca="1" si="183"/>
        <v>-23.942739462172185</v>
      </c>
      <c r="F395" s="304">
        <f t="shared" ca="1" si="184"/>
        <v>24.002852549338908</v>
      </c>
      <c r="G395" s="306">
        <f t="shared" ca="1" si="185"/>
        <v>22.168979210397573</v>
      </c>
      <c r="H395" s="307">
        <f t="shared" ca="1" si="186"/>
        <v>184.45153478460989</v>
      </c>
      <c r="I395" s="304">
        <f t="shared" ca="1" si="187"/>
        <v>185.77898784208401</v>
      </c>
      <c r="J395" s="306">
        <f t="shared" ca="1" si="188"/>
        <v>56.553638935212412</v>
      </c>
      <c r="K395" s="307">
        <f t="shared" ca="1" si="189"/>
        <v>510.82022562902512</v>
      </c>
      <c r="L395" s="304">
        <f t="shared" ca="1" si="174"/>
        <v>513.94125830536552</v>
      </c>
      <c r="M395" s="306">
        <f t="shared" ca="1" si="190"/>
        <v>1.4511814422557279</v>
      </c>
      <c r="N395" s="304">
        <f t="shared" ca="1" si="191"/>
        <v>83.146571948960997</v>
      </c>
      <c r="P395" s="310">
        <f t="shared" ca="1" si="192"/>
        <v>23</v>
      </c>
      <c r="Q395" s="304">
        <f t="shared" ca="1" si="193"/>
        <v>0</v>
      </c>
      <c r="R395" s="306">
        <f t="shared" ca="1" si="194"/>
        <v>0</v>
      </c>
      <c r="S395" s="307">
        <f t="shared" ca="1" si="195"/>
        <v>7.4819999999999904</v>
      </c>
      <c r="T395" s="304">
        <f t="shared" ca="1" si="175"/>
        <v>73.398419999999916</v>
      </c>
      <c r="U395" s="311">
        <f t="shared" ca="1" si="176"/>
        <v>0</v>
      </c>
      <c r="V395" s="306">
        <f t="shared" ca="1" si="177"/>
        <v>1.1639829592856896</v>
      </c>
      <c r="W395" s="304">
        <f t="shared" ca="1" si="178"/>
        <v>106.20738372285875</v>
      </c>
      <c r="Y395" s="314" t="str">
        <f t="shared" ca="1" si="196"/>
        <v/>
      </c>
      <c r="Z395" s="315" t="str">
        <f t="shared" ca="1" si="197"/>
        <v/>
      </c>
      <c r="AA395" s="316" t="str">
        <f t="shared" ca="1" si="198"/>
        <v/>
      </c>
      <c r="AC395" s="310" t="e">
        <f t="shared" ca="1" si="199"/>
        <v>#N/A</v>
      </c>
      <c r="AD395" s="323" t="e">
        <f t="shared" ca="1" si="200"/>
        <v>#N/A</v>
      </c>
      <c r="AE395" s="324">
        <f t="shared" ca="1" si="179"/>
        <v>510.82022562902512</v>
      </c>
      <c r="AG395" s="306">
        <f t="shared" ca="1" si="201"/>
        <v>-23.974319623029452</v>
      </c>
      <c r="AH395" s="304">
        <f t="shared" ca="1" si="202"/>
        <v>-14.234341651705815</v>
      </c>
    </row>
    <row r="396" spans="1:34" x14ac:dyDescent="0.2">
      <c r="A396" s="347">
        <f t="shared" ca="1" si="180"/>
        <v>0.01</v>
      </c>
      <c r="B396" s="304">
        <f t="shared" ca="1" si="181"/>
        <v>3.9199999999999604</v>
      </c>
      <c r="D396" s="306">
        <f t="shared" ca="1" si="182"/>
        <v>-1.6938935352047875</v>
      </c>
      <c r="E396" s="307">
        <f t="shared" ca="1" si="183"/>
        <v>-23.903624219906</v>
      </c>
      <c r="F396" s="304">
        <f t="shared" ca="1" si="184"/>
        <v>23.963566640946528</v>
      </c>
      <c r="G396" s="306">
        <f t="shared" ca="1" si="185"/>
        <v>22.152040275045525</v>
      </c>
      <c r="H396" s="307">
        <f t="shared" ca="1" si="186"/>
        <v>184.21249854241083</v>
      </c>
      <c r="I396" s="304">
        <f t="shared" ca="1" si="187"/>
        <v>185.5396386424878</v>
      </c>
      <c r="J396" s="306">
        <f t="shared" ca="1" si="188"/>
        <v>56.775244032639627</v>
      </c>
      <c r="K396" s="307">
        <f t="shared" ca="1" si="189"/>
        <v>512.66354579566018</v>
      </c>
      <c r="L396" s="304">
        <f t="shared" ca="1" si="174"/>
        <v>515.79776998620764</v>
      </c>
      <c r="M396" s="306">
        <f t="shared" ca="1" si="190"/>
        <v>1.4511183492227766</v>
      </c>
      <c r="N396" s="304">
        <f t="shared" ca="1" si="191"/>
        <v>83.142956984456205</v>
      </c>
      <c r="P396" s="310">
        <f t="shared" ca="1" si="192"/>
        <v>23</v>
      </c>
      <c r="Q396" s="304">
        <f t="shared" ca="1" si="193"/>
        <v>0</v>
      </c>
      <c r="R396" s="306">
        <f t="shared" ca="1" si="194"/>
        <v>0</v>
      </c>
      <c r="S396" s="307">
        <f t="shared" ca="1" si="195"/>
        <v>7.4819999999999904</v>
      </c>
      <c r="T396" s="304">
        <f t="shared" ca="1" si="175"/>
        <v>73.398419999999916</v>
      </c>
      <c r="U396" s="311">
        <f t="shared" ca="1" si="176"/>
        <v>0</v>
      </c>
      <c r="V396" s="306">
        <f t="shared" ca="1" si="177"/>
        <v>1.16376827919518</v>
      </c>
      <c r="W396" s="304">
        <f t="shared" ca="1" si="178"/>
        <v>105.91435648606006</v>
      </c>
      <c r="Y396" s="314" t="str">
        <f t="shared" ca="1" si="196"/>
        <v/>
      </c>
      <c r="Z396" s="315" t="str">
        <f t="shared" ca="1" si="197"/>
        <v/>
      </c>
      <c r="AA396" s="316" t="str">
        <f t="shared" ca="1" si="198"/>
        <v/>
      </c>
      <c r="AC396" s="310" t="e">
        <f t="shared" ca="1" si="199"/>
        <v>#N/A</v>
      </c>
      <c r="AD396" s="323" t="e">
        <f t="shared" ca="1" si="200"/>
        <v>#N/A</v>
      </c>
      <c r="AE396" s="324">
        <f t="shared" ca="1" si="179"/>
        <v>512.66354579566018</v>
      </c>
      <c r="AG396" s="306">
        <f t="shared" ca="1" si="201"/>
        <v>-23.934956888787283</v>
      </c>
      <c r="AH396" s="304">
        <f t="shared" ca="1" si="202"/>
        <v>-14.195052622675606</v>
      </c>
    </row>
    <row r="397" spans="1:34" x14ac:dyDescent="0.2">
      <c r="A397" s="347">
        <f t="shared" ca="1" si="180"/>
        <v>0.01</v>
      </c>
      <c r="B397" s="304">
        <f t="shared" ca="1" si="181"/>
        <v>3.9299999999999602</v>
      </c>
      <c r="D397" s="306">
        <f t="shared" ca="1" si="182"/>
        <v>-1.6901068187504764</v>
      </c>
      <c r="E397" s="307">
        <f t="shared" ca="1" si="183"/>
        <v>-23.864633163353218</v>
      </c>
      <c r="F397" s="304">
        <f t="shared" ca="1" si="184"/>
        <v>23.924405469733308</v>
      </c>
      <c r="G397" s="306">
        <f t="shared" ca="1" si="185"/>
        <v>22.135139206858021</v>
      </c>
      <c r="H397" s="307">
        <f t="shared" ca="1" si="186"/>
        <v>183.9738522107773</v>
      </c>
      <c r="I397" s="304">
        <f t="shared" ca="1" si="187"/>
        <v>185.30068182545878</v>
      </c>
      <c r="J397" s="306">
        <f t="shared" ca="1" si="188"/>
        <v>56.996679930049147</v>
      </c>
      <c r="K397" s="307">
        <f t="shared" ca="1" si="189"/>
        <v>514.50447754942616</v>
      </c>
      <c r="L397" s="304">
        <f t="shared" ca="1" si="174"/>
        <v>517.65188973040222</v>
      </c>
      <c r="M397" s="306">
        <f t="shared" ca="1" si="190"/>
        <v>1.4510551416641373</v>
      </c>
      <c r="N397" s="304">
        <f t="shared" ca="1" si="191"/>
        <v>83.139335458112839</v>
      </c>
      <c r="P397" s="310">
        <f t="shared" ca="1" si="192"/>
        <v>23</v>
      </c>
      <c r="Q397" s="304">
        <f t="shared" ca="1" si="193"/>
        <v>0</v>
      </c>
      <c r="R397" s="306">
        <f t="shared" ca="1" si="194"/>
        <v>0</v>
      </c>
      <c r="S397" s="307">
        <f t="shared" ca="1" si="195"/>
        <v>7.4819999999999904</v>
      </c>
      <c r="T397" s="304">
        <f t="shared" ca="1" si="175"/>
        <v>73.398419999999916</v>
      </c>
      <c r="U397" s="311">
        <f t="shared" ca="1" si="176"/>
        <v>0</v>
      </c>
      <c r="V397" s="306">
        <f t="shared" ca="1" si="177"/>
        <v>1.163553915773321</v>
      </c>
      <c r="W397" s="304">
        <f t="shared" ca="1" si="178"/>
        <v>105.62225864480992</v>
      </c>
      <c r="Y397" s="314" t="str">
        <f t="shared" ca="1" si="196"/>
        <v/>
      </c>
      <c r="Z397" s="315" t="str">
        <f t="shared" ca="1" si="197"/>
        <v/>
      </c>
      <c r="AA397" s="316" t="str">
        <f t="shared" ca="1" si="198"/>
        <v/>
      </c>
      <c r="AC397" s="310" t="e">
        <f t="shared" ca="1" si="199"/>
        <v>#N/A</v>
      </c>
      <c r="AD397" s="323" t="e">
        <f t="shared" ca="1" si="200"/>
        <v>#N/A</v>
      </c>
      <c r="AE397" s="324">
        <f t="shared" ca="1" si="179"/>
        <v>514.50447754942616</v>
      </c>
      <c r="AG397" s="306">
        <f t="shared" ca="1" si="201"/>
        <v>-23.895718718523938</v>
      </c>
      <c r="AH397" s="304">
        <f t="shared" ca="1" si="202"/>
        <v>-14.15588833013368</v>
      </c>
    </row>
    <row r="398" spans="1:34" x14ac:dyDescent="0.2">
      <c r="A398" s="347">
        <f t="shared" ca="1" si="180"/>
        <v>0.01</v>
      </c>
      <c r="B398" s="304">
        <f t="shared" ca="1" si="181"/>
        <v>3.93999999999996</v>
      </c>
      <c r="D398" s="306">
        <f t="shared" ca="1" si="182"/>
        <v>-1.6863316325166728</v>
      </c>
      <c r="E398" s="307">
        <f t="shared" ca="1" si="183"/>
        <v>-23.825765775842097</v>
      </c>
      <c r="F398" s="304">
        <f t="shared" ca="1" si="184"/>
        <v>23.885368516732473</v>
      </c>
      <c r="G398" s="306">
        <f t="shared" ca="1" si="185"/>
        <v>22.118275890532853</v>
      </c>
      <c r="H398" s="307">
        <f t="shared" ca="1" si="186"/>
        <v>183.73559455301887</v>
      </c>
      <c r="I398" s="304">
        <f t="shared" ca="1" si="187"/>
        <v>185.06211615055381</v>
      </c>
      <c r="J398" s="306">
        <f t="shared" ca="1" si="188"/>
        <v>57.217947005536104</v>
      </c>
      <c r="K398" s="307">
        <f t="shared" ca="1" si="189"/>
        <v>516.34302478324514</v>
      </c>
      <c r="L398" s="304">
        <f t="shared" ca="1" si="174"/>
        <v>519.50362145209272</v>
      </c>
      <c r="M398" s="306">
        <f t="shared" ca="1" si="190"/>
        <v>1.4509918193578664</v>
      </c>
      <c r="N398" s="304">
        <f t="shared" ca="1" si="191"/>
        <v>83.135707357214486</v>
      </c>
      <c r="P398" s="310">
        <f t="shared" ca="1" si="192"/>
        <v>23</v>
      </c>
      <c r="Q398" s="304">
        <f t="shared" ca="1" si="193"/>
        <v>0</v>
      </c>
      <c r="R398" s="306">
        <f t="shared" ca="1" si="194"/>
        <v>0</v>
      </c>
      <c r="S398" s="307">
        <f t="shared" ca="1" si="195"/>
        <v>7.4819999999999904</v>
      </c>
      <c r="T398" s="304">
        <f t="shared" ca="1" si="175"/>
        <v>73.398419999999916</v>
      </c>
      <c r="U398" s="311">
        <f t="shared" ca="1" si="176"/>
        <v>0</v>
      </c>
      <c r="V398" s="306">
        <f t="shared" ca="1" si="177"/>
        <v>1.1633398684068204</v>
      </c>
      <c r="W398" s="304">
        <f t="shared" ca="1" si="178"/>
        <v>105.33108633673325</v>
      </c>
      <c r="Y398" s="314" t="str">
        <f t="shared" ca="1" si="196"/>
        <v/>
      </c>
      <c r="Z398" s="315" t="str">
        <f t="shared" ca="1" si="197"/>
        <v/>
      </c>
      <c r="AA398" s="316" t="str">
        <f t="shared" ca="1" si="198"/>
        <v/>
      </c>
      <c r="AC398" s="310" t="e">
        <f t="shared" ca="1" si="199"/>
        <v>#N/A</v>
      </c>
      <c r="AD398" s="323" t="e">
        <f t="shared" ca="1" si="200"/>
        <v>#N/A</v>
      </c>
      <c r="AE398" s="324">
        <f t="shared" ca="1" si="179"/>
        <v>516.34302478324514</v>
      </c>
      <c r="AG398" s="306">
        <f t="shared" ca="1" si="201"/>
        <v>-23.856604592809944</v>
      </c>
      <c r="AH398" s="304">
        <f t="shared" ca="1" si="202"/>
        <v>-14.116848255120296</v>
      </c>
    </row>
    <row r="399" spans="1:34" x14ac:dyDescent="0.2">
      <c r="A399" s="347">
        <f t="shared" ca="1" si="180"/>
        <v>0.01</v>
      </c>
      <c r="B399" s="304">
        <f t="shared" ca="1" si="181"/>
        <v>3.9499999999999598</v>
      </c>
      <c r="D399" s="306">
        <f t="shared" ca="1" si="182"/>
        <v>-1.6825679279918542</v>
      </c>
      <c r="E399" s="307">
        <f t="shared" ca="1" si="183"/>
        <v>-23.787021543426295</v>
      </c>
      <c r="F399" s="304">
        <f t="shared" ca="1" si="184"/>
        <v>23.846455265714724</v>
      </c>
      <c r="G399" s="306">
        <f t="shared" ca="1" si="185"/>
        <v>22.101450211252935</v>
      </c>
      <c r="H399" s="307">
        <f t="shared" ca="1" si="186"/>
        <v>183.4977243375846</v>
      </c>
      <c r="I399" s="304">
        <f t="shared" ca="1" si="187"/>
        <v>184.82394038249666</v>
      </c>
      <c r="J399" s="306">
        <f t="shared" ca="1" si="188"/>
        <v>57.43904563604503</v>
      </c>
      <c r="K399" s="307">
        <f t="shared" ca="1" si="189"/>
        <v>518.1791913776982</v>
      </c>
      <c r="L399" s="304">
        <f t="shared" ca="1" si="174"/>
        <v>521.3529690530446</v>
      </c>
      <c r="M399" s="306">
        <f t="shared" ca="1" si="190"/>
        <v>1.4509283820813501</v>
      </c>
      <c r="N399" s="304">
        <f t="shared" ca="1" si="191"/>
        <v>83.132072669006305</v>
      </c>
      <c r="P399" s="310">
        <f t="shared" ca="1" si="192"/>
        <v>23</v>
      </c>
      <c r="Q399" s="304">
        <f t="shared" ca="1" si="193"/>
        <v>0</v>
      </c>
      <c r="R399" s="306">
        <f t="shared" ca="1" si="194"/>
        <v>0</v>
      </c>
      <c r="S399" s="307">
        <f t="shared" ca="1" si="195"/>
        <v>7.4819999999999904</v>
      </c>
      <c r="T399" s="304">
        <f t="shared" ca="1" si="175"/>
        <v>73.398419999999916</v>
      </c>
      <c r="U399" s="311">
        <f t="shared" ca="1" si="176"/>
        <v>0</v>
      </c>
      <c r="V399" s="306">
        <f t="shared" ca="1" si="177"/>
        <v>1.1631261364844276</v>
      </c>
      <c r="W399" s="304">
        <f t="shared" ca="1" si="178"/>
        <v>105.04083571980735</v>
      </c>
      <c r="Y399" s="314" t="str">
        <f t="shared" ca="1" si="196"/>
        <v/>
      </c>
      <c r="Z399" s="315" t="str">
        <f t="shared" ca="1" si="197"/>
        <v/>
      </c>
      <c r="AA399" s="316" t="str">
        <f t="shared" ca="1" si="198"/>
        <v/>
      </c>
      <c r="AC399" s="310" t="e">
        <f t="shared" ca="1" si="199"/>
        <v>#N/A</v>
      </c>
      <c r="AD399" s="323" t="e">
        <f t="shared" ca="1" si="200"/>
        <v>#N/A</v>
      </c>
      <c r="AE399" s="324">
        <f t="shared" ca="1" si="179"/>
        <v>518.1791913776982</v>
      </c>
      <c r="AG399" s="306">
        <f t="shared" ca="1" si="201"/>
        <v>-23.817613994951579</v>
      </c>
      <c r="AH399" s="304">
        <f t="shared" ca="1" si="202"/>
        <v>-14.077931881413177</v>
      </c>
    </row>
    <row r="400" spans="1:34" x14ac:dyDescent="0.2">
      <c r="A400" s="347">
        <f t="shared" ca="1" si="180"/>
        <v>0.01</v>
      </c>
      <c r="B400" s="304">
        <f t="shared" ca="1" si="181"/>
        <v>3.9599999999999596</v>
      </c>
      <c r="D400" s="306">
        <f t="shared" ca="1" si="182"/>
        <v>-1.6788156569195112</v>
      </c>
      <c r="E400" s="307">
        <f t="shared" ca="1" si="183"/>
        <v>-23.748399954867644</v>
      </c>
      <c r="F400" s="304">
        <f t="shared" ca="1" si="184"/>
        <v>23.807665203170924</v>
      </c>
      <c r="G400" s="306">
        <f t="shared" ca="1" si="185"/>
        <v>22.08466205468374</v>
      </c>
      <c r="H400" s="307">
        <f t="shared" ca="1" si="186"/>
        <v>183.26024033803591</v>
      </c>
      <c r="I400" s="304">
        <f t="shared" ca="1" si="187"/>
        <v>184.58615329115094</v>
      </c>
      <c r="J400" s="306">
        <f t="shared" ca="1" si="188"/>
        <v>57.659976197374711</v>
      </c>
      <c r="K400" s="307">
        <f t="shared" ca="1" si="189"/>
        <v>520.01298120107629</v>
      </c>
      <c r="L400" s="304">
        <f t="shared" ca="1" si="174"/>
        <v>523.1999364226956</v>
      </c>
      <c r="M400" s="306">
        <f t="shared" ca="1" si="190"/>
        <v>1.4508648296113016</v>
      </c>
      <c r="N400" s="304">
        <f t="shared" ca="1" si="191"/>
        <v>83.128431380694892</v>
      </c>
      <c r="P400" s="310">
        <f t="shared" ca="1" si="192"/>
        <v>23</v>
      </c>
      <c r="Q400" s="304">
        <f t="shared" ca="1" si="193"/>
        <v>0</v>
      </c>
      <c r="R400" s="306">
        <f t="shared" ca="1" si="194"/>
        <v>0</v>
      </c>
      <c r="S400" s="307">
        <f t="shared" ca="1" si="195"/>
        <v>7.4819999999999904</v>
      </c>
      <c r="T400" s="304">
        <f t="shared" ca="1" si="175"/>
        <v>73.398419999999916</v>
      </c>
      <c r="U400" s="311">
        <f t="shared" ca="1" si="176"/>
        <v>0</v>
      </c>
      <c r="V400" s="306">
        <f t="shared" ca="1" si="177"/>
        <v>1.1629127193969222</v>
      </c>
      <c r="W400" s="304">
        <f t="shared" ca="1" si="178"/>
        <v>104.75150297223267</v>
      </c>
      <c r="Y400" s="314" t="str">
        <f t="shared" ca="1" si="196"/>
        <v/>
      </c>
      <c r="Z400" s="315" t="str">
        <f t="shared" ca="1" si="197"/>
        <v/>
      </c>
      <c r="AA400" s="316" t="str">
        <f t="shared" ca="1" si="198"/>
        <v/>
      </c>
      <c r="AC400" s="310" t="e">
        <f t="shared" ca="1" si="199"/>
        <v>#N/A</v>
      </c>
      <c r="AD400" s="323" t="e">
        <f t="shared" ca="1" si="200"/>
        <v>#N/A</v>
      </c>
      <c r="AE400" s="324">
        <f t="shared" ca="1" si="179"/>
        <v>520.01298120107629</v>
      </c>
      <c r="AG400" s="306">
        <f t="shared" ca="1" si="201"/>
        <v>-23.778746410973582</v>
      </c>
      <c r="AH400" s="304">
        <f t="shared" ca="1" si="202"/>
        <v>-14.039138695510221</v>
      </c>
    </row>
    <row r="401" spans="1:34" x14ac:dyDescent="0.2">
      <c r="A401" s="347">
        <f t="shared" ca="1" si="180"/>
        <v>0.01</v>
      </c>
      <c r="B401" s="304">
        <f t="shared" ca="1" si="181"/>
        <v>3.9699999999999593</v>
      </c>
      <c r="D401" s="306">
        <f t="shared" ca="1" si="182"/>
        <v>-1.6750747712965388</v>
      </c>
      <c r="E401" s="307">
        <f t="shared" ca="1" si="183"/>
        <v>-23.709900501618975</v>
      </c>
      <c r="F401" s="304">
        <f t="shared" ca="1" si="184"/>
        <v>23.76899781829486</v>
      </c>
      <c r="G401" s="306">
        <f t="shared" ca="1" si="185"/>
        <v>22.067911306970775</v>
      </c>
      <c r="H401" s="307">
        <f t="shared" ca="1" si="186"/>
        <v>183.02314133301974</v>
      </c>
      <c r="I401" s="304">
        <f t="shared" ca="1" si="187"/>
        <v>184.34875365149298</v>
      </c>
      <c r="J401" s="306">
        <f t="shared" ca="1" si="188"/>
        <v>57.880739064182983</v>
      </c>
      <c r="K401" s="307">
        <f t="shared" ca="1" si="189"/>
        <v>521.84439810943161</v>
      </c>
      <c r="L401" s="304">
        <f t="shared" ca="1" si="174"/>
        <v>525.04452743820787</v>
      </c>
      <c r="M401" s="306">
        <f t="shared" ca="1" si="190"/>
        <v>1.4508011617237595</v>
      </c>
      <c r="N401" s="304">
        <f t="shared" ca="1" si="191"/>
        <v>83.124783479448212</v>
      </c>
      <c r="P401" s="310">
        <f t="shared" ca="1" si="192"/>
        <v>23</v>
      </c>
      <c r="Q401" s="304">
        <f t="shared" ca="1" si="193"/>
        <v>0</v>
      </c>
      <c r="R401" s="306">
        <f t="shared" ca="1" si="194"/>
        <v>0</v>
      </c>
      <c r="S401" s="307">
        <f t="shared" ca="1" si="195"/>
        <v>7.4819999999999904</v>
      </c>
      <c r="T401" s="304">
        <f t="shared" ca="1" si="175"/>
        <v>73.398419999999916</v>
      </c>
      <c r="U401" s="311">
        <f t="shared" ca="1" si="176"/>
        <v>0</v>
      </c>
      <c r="V401" s="306">
        <f t="shared" ca="1" si="177"/>
        <v>1.162699616537104</v>
      </c>
      <c r="W401" s="304">
        <f t="shared" ca="1" si="178"/>
        <v>104.46308429230488</v>
      </c>
      <c r="Y401" s="314" t="str">
        <f t="shared" ca="1" si="196"/>
        <v/>
      </c>
      <c r="Z401" s="315" t="str">
        <f t="shared" ca="1" si="197"/>
        <v/>
      </c>
      <c r="AA401" s="316" t="str">
        <f t="shared" ca="1" si="198"/>
        <v/>
      </c>
      <c r="AC401" s="310" t="e">
        <f t="shared" ca="1" si="199"/>
        <v>#N/A</v>
      </c>
      <c r="AD401" s="323" t="e">
        <f t="shared" ca="1" si="200"/>
        <v>#N/A</v>
      </c>
      <c r="AE401" s="324">
        <f t="shared" ca="1" si="179"/>
        <v>521.84439810943161</v>
      </c>
      <c r="AG401" s="306">
        <f t="shared" ca="1" si="201"/>
        <v>-23.740001329601892</v>
      </c>
      <c r="AH401" s="304">
        <f t="shared" ca="1" si="202"/>
        <v>-14.000468186612244</v>
      </c>
    </row>
    <row r="402" spans="1:34" x14ac:dyDescent="0.2">
      <c r="A402" s="347">
        <f t="shared" ca="1" si="180"/>
        <v>0.01</v>
      </c>
      <c r="B402" s="304">
        <f t="shared" ca="1" si="181"/>
        <v>3.9799999999999591</v>
      </c>
      <c r="D402" s="306">
        <f t="shared" ca="1" si="182"/>
        <v>-1.6713452233716144</v>
      </c>
      <c r="E402" s="307">
        <f t="shared" ca="1" si="183"/>
        <v>-23.671522677807062</v>
      </c>
      <c r="F402" s="304">
        <f t="shared" ca="1" si="184"/>
        <v>23.73045260296611</v>
      </c>
      <c r="G402" s="306">
        <f t="shared" ca="1" si="185"/>
        <v>22.051197854737058</v>
      </c>
      <c r="H402" s="307">
        <f t="shared" ca="1" si="186"/>
        <v>182.78642610624166</v>
      </c>
      <c r="I402" s="304">
        <f t="shared" ca="1" si="187"/>
        <v>184.11174024358496</v>
      </c>
      <c r="J402" s="306">
        <f t="shared" ca="1" si="188"/>
        <v>58.101334609991525</v>
      </c>
      <c r="K402" s="307">
        <f t="shared" ca="1" si="189"/>
        <v>523.67344594662791</v>
      </c>
      <c r="L402" s="304">
        <f t="shared" ca="1" si="174"/>
        <v>526.88674596451756</v>
      </c>
      <c r="M402" s="306">
        <f t="shared" ca="1" si="190"/>
        <v>1.4507373781940851</v>
      </c>
      <c r="N402" s="304">
        <f t="shared" ca="1" si="191"/>
        <v>83.121128952395424</v>
      </c>
      <c r="P402" s="310">
        <f t="shared" ca="1" si="192"/>
        <v>23</v>
      </c>
      <c r="Q402" s="304">
        <f t="shared" ca="1" si="193"/>
        <v>0</v>
      </c>
      <c r="R402" s="306">
        <f t="shared" ca="1" si="194"/>
        <v>0</v>
      </c>
      <c r="S402" s="307">
        <f t="shared" ca="1" si="195"/>
        <v>7.4819999999999904</v>
      </c>
      <c r="T402" s="304">
        <f t="shared" ca="1" si="175"/>
        <v>73.398419999999916</v>
      </c>
      <c r="U402" s="311">
        <f t="shared" ca="1" si="176"/>
        <v>0</v>
      </c>
      <c r="V402" s="306">
        <f t="shared" ca="1" si="177"/>
        <v>1.162486827299787</v>
      </c>
      <c r="W402" s="304">
        <f t="shared" ca="1" si="178"/>
        <v>104.17557589828765</v>
      </c>
      <c r="Y402" s="314" t="str">
        <f t="shared" ca="1" si="196"/>
        <v/>
      </c>
      <c r="Z402" s="315" t="str">
        <f t="shared" ca="1" si="197"/>
        <v/>
      </c>
      <c r="AA402" s="316" t="str">
        <f t="shared" ca="1" si="198"/>
        <v/>
      </c>
      <c r="AC402" s="310" t="e">
        <f t="shared" ca="1" si="199"/>
        <v>#N/A</v>
      </c>
      <c r="AD402" s="323" t="e">
        <f t="shared" ca="1" si="200"/>
        <v>#N/A</v>
      </c>
      <c r="AE402" s="324">
        <f t="shared" ca="1" si="179"/>
        <v>523.67344594662791</v>
      </c>
      <c r="AG402" s="306">
        <f t="shared" ca="1" si="201"/>
        <v>-23.701378242246509</v>
      </c>
      <c r="AH402" s="304">
        <f t="shared" ca="1" si="202"/>
        <v>-13.961919846605856</v>
      </c>
    </row>
    <row r="403" spans="1:34" x14ac:dyDescent="0.2">
      <c r="A403" s="347">
        <f t="shared" ca="1" si="180"/>
        <v>0.01</v>
      </c>
      <c r="B403" s="304">
        <f t="shared" ca="1" si="181"/>
        <v>3.9899999999999589</v>
      </c>
      <c r="D403" s="306">
        <f t="shared" ca="1" si="182"/>
        <v>-1.6676269656436145</v>
      </c>
      <c r="E403" s="307">
        <f t="shared" ca="1" si="183"/>
        <v>-23.633265980215725</v>
      </c>
      <c r="F403" s="304">
        <f t="shared" ca="1" si="184"/>
        <v>23.692029051733069</v>
      </c>
      <c r="G403" s="306">
        <f t="shared" ca="1" si="185"/>
        <v>22.034521585080622</v>
      </c>
      <c r="H403" s="307">
        <f t="shared" ca="1" si="186"/>
        <v>182.55009344643952</v>
      </c>
      <c r="I403" s="304">
        <f t="shared" ca="1" si="187"/>
        <v>183.8751118525484</v>
      </c>
      <c r="J403" s="306">
        <f t="shared" ca="1" si="188"/>
        <v>58.321763207190614</v>
      </c>
      <c r="K403" s="307">
        <f t="shared" ca="1" si="189"/>
        <v>525.50012854439126</v>
      </c>
      <c r="L403" s="304">
        <f t="shared" ca="1" si="174"/>
        <v>528.72659585438612</v>
      </c>
      <c r="M403" s="306">
        <f t="shared" ca="1" si="190"/>
        <v>1.4506734787969597</v>
      </c>
      <c r="N403" s="304">
        <f t="shared" ca="1" si="191"/>
        <v>83.117467786626705</v>
      </c>
      <c r="P403" s="310">
        <f t="shared" ca="1" si="192"/>
        <v>23</v>
      </c>
      <c r="Q403" s="304">
        <f t="shared" ca="1" si="193"/>
        <v>0</v>
      </c>
      <c r="R403" s="306">
        <f t="shared" ca="1" si="194"/>
        <v>0</v>
      </c>
      <c r="S403" s="307">
        <f t="shared" ca="1" si="195"/>
        <v>7.4819999999999904</v>
      </c>
      <c r="T403" s="304">
        <f t="shared" ca="1" si="175"/>
        <v>73.398419999999916</v>
      </c>
      <c r="U403" s="311">
        <f t="shared" ca="1" si="176"/>
        <v>0</v>
      </c>
      <c r="V403" s="306">
        <f t="shared" ca="1" si="177"/>
        <v>1.1622743510817897</v>
      </c>
      <c r="W403" s="304">
        <f t="shared" ca="1" si="178"/>
        <v>103.88897402828691</v>
      </c>
      <c r="Y403" s="314" t="str">
        <f t="shared" ca="1" si="196"/>
        <v/>
      </c>
      <c r="Z403" s="315" t="str">
        <f t="shared" ca="1" si="197"/>
        <v/>
      </c>
      <c r="AA403" s="316" t="str">
        <f t="shared" ca="1" si="198"/>
        <v/>
      </c>
      <c r="AC403" s="310" t="e">
        <f t="shared" ca="1" si="199"/>
        <v>#N/A</v>
      </c>
      <c r="AD403" s="323" t="e">
        <f t="shared" ca="1" si="200"/>
        <v>#N/A</v>
      </c>
      <c r="AE403" s="324">
        <f t="shared" ca="1" si="179"/>
        <v>525.50012854439126</v>
      </c>
      <c r="AG403" s="306">
        <f t="shared" ca="1" si="201"/>
        <v>-23.662876642984514</v>
      </c>
      <c r="AH403" s="304">
        <f t="shared" ca="1" si="202"/>
        <v>-13.923493170046482</v>
      </c>
    </row>
    <row r="404" spans="1:34" x14ac:dyDescent="0.2">
      <c r="A404" s="347">
        <f t="shared" ca="1" si="180"/>
        <v>0.01</v>
      </c>
      <c r="B404" s="304">
        <f t="shared" ca="1" si="181"/>
        <v>3.9999999999999587</v>
      </c>
      <c r="D404" s="306">
        <f t="shared" ca="1" si="182"/>
        <v>-1.6639199508600402</v>
      </c>
      <c r="E404" s="307">
        <f t="shared" ca="1" si="183"/>
        <v>-23.59512990826908</v>
      </c>
      <c r="F404" s="304">
        <f t="shared" ca="1" si="184"/>
        <v>23.653726661796107</v>
      </c>
      <c r="G404" s="306">
        <f t="shared" ca="1" si="185"/>
        <v>22.017882385572022</v>
      </c>
      <c r="H404" s="307">
        <f t="shared" ca="1" si="186"/>
        <v>182.31414214735682</v>
      </c>
      <c r="I404" s="304">
        <f t="shared" ca="1" si="187"/>
        <v>183.63886726853744</v>
      </c>
      <c r="J404" s="306">
        <f t="shared" ca="1" si="188"/>
        <v>58.542025227043879</v>
      </c>
      <c r="K404" s="307">
        <f t="shared" ca="1" si="189"/>
        <v>527.32444972236021</v>
      </c>
      <c r="L404" s="304">
        <f t="shared" ca="1" si="174"/>
        <v>530.5640809484504</v>
      </c>
      <c r="M404" s="306">
        <f t="shared" ca="1" si="190"/>
        <v>1.4506094633063833</v>
      </c>
      <c r="N404" s="304">
        <f t="shared" ca="1" si="191"/>
        <v>83.113799969193224</v>
      </c>
      <c r="P404" s="310">
        <f t="shared" ca="1" si="192"/>
        <v>23</v>
      </c>
      <c r="Q404" s="304">
        <f t="shared" ca="1" si="193"/>
        <v>0</v>
      </c>
      <c r="R404" s="306">
        <f t="shared" ca="1" si="194"/>
        <v>0</v>
      </c>
      <c r="S404" s="307">
        <f t="shared" ca="1" si="195"/>
        <v>7.4819999999999904</v>
      </c>
      <c r="T404" s="304">
        <f t="shared" ca="1" si="175"/>
        <v>73.398419999999916</v>
      </c>
      <c r="U404" s="311">
        <f t="shared" ca="1" si="176"/>
        <v>0</v>
      </c>
      <c r="V404" s="306">
        <f t="shared" ca="1" si="177"/>
        <v>1.1620621872819255</v>
      </c>
      <c r="W404" s="304">
        <f t="shared" ca="1" si="178"/>
        <v>103.60327494012523</v>
      </c>
      <c r="Y404" s="314" t="str">
        <f t="shared" ca="1" si="196"/>
        <v/>
      </c>
      <c r="Z404" s="315" t="str">
        <f t="shared" ca="1" si="197"/>
        <v/>
      </c>
      <c r="AA404" s="316" t="str">
        <f t="shared" ca="1" si="198"/>
        <v/>
      </c>
      <c r="AC404" s="310">
        <f t="shared" ca="1" si="199"/>
        <v>3.9999999999999587</v>
      </c>
      <c r="AD404" s="323">
        <f t="shared" ca="1" si="200"/>
        <v>58.542025227043879</v>
      </c>
      <c r="AE404" s="324">
        <f t="shared" ca="1" si="179"/>
        <v>527.32444972236021</v>
      </c>
      <c r="AG404" s="306">
        <f t="shared" ca="1" si="201"/>
        <v>-23.624496028543234</v>
      </c>
      <c r="AH404" s="304">
        <f t="shared" ca="1" si="202"/>
        <v>-13.885187654141545</v>
      </c>
    </row>
    <row r="405" spans="1:34" x14ac:dyDescent="0.2">
      <c r="A405" s="347">
        <f t="shared" ca="1" si="180"/>
        <v>0.1</v>
      </c>
      <c r="B405" s="304">
        <f t="shared" ca="1" si="181"/>
        <v>4.0999999999999588</v>
      </c>
      <c r="D405" s="306">
        <f t="shared" ca="1" si="182"/>
        <v>-1.6602241320154314</v>
      </c>
      <c r="E405" s="307">
        <f t="shared" ca="1" si="183"/>
        <v>-23.557113964014842</v>
      </c>
      <c r="F405" s="304">
        <f t="shared" ca="1" si="184"/>
        <v>23.615544932990844</v>
      </c>
      <c r="G405" s="306">
        <f t="shared" ca="1" si="185"/>
        <v>21.85185997237048</v>
      </c>
      <c r="H405" s="307">
        <f t="shared" ca="1" si="186"/>
        <v>179.95843075095533</v>
      </c>
      <c r="I405" s="304">
        <f t="shared" ca="1" si="187"/>
        <v>181.2802818361624</v>
      </c>
      <c r="J405" s="306">
        <f t="shared" ca="1" si="188"/>
        <v>60.735512344941007</v>
      </c>
      <c r="K405" s="307">
        <f t="shared" ca="1" si="189"/>
        <v>545.43807836727581</v>
      </c>
      <c r="L405" s="304">
        <f t="shared" ca="1" si="174"/>
        <v>548.8091651865783</v>
      </c>
      <c r="M405" s="306">
        <f t="shared" ca="1" si="190"/>
        <v>1.4499606355620123</v>
      </c>
      <c r="N405" s="304">
        <f t="shared" ca="1" si="191"/>
        <v>83.076624877809763</v>
      </c>
      <c r="P405" s="310">
        <f t="shared" ca="1" si="192"/>
        <v>23</v>
      </c>
      <c r="Q405" s="304">
        <f t="shared" ca="1" si="193"/>
        <v>0</v>
      </c>
      <c r="R405" s="306">
        <f t="shared" ca="1" si="194"/>
        <v>0</v>
      </c>
      <c r="S405" s="307">
        <f t="shared" ca="1" si="195"/>
        <v>7.4819999999999904</v>
      </c>
      <c r="T405" s="304">
        <f t="shared" ca="1" si="175"/>
        <v>73.398419999999916</v>
      </c>
      <c r="U405" s="311">
        <f t="shared" ca="1" si="176"/>
        <v>0</v>
      </c>
      <c r="V405" s="306">
        <f t="shared" ca="1" si="177"/>
        <v>1.1599576637449818</v>
      </c>
      <c r="W405" s="304">
        <f t="shared" ca="1" si="178"/>
        <v>100.77624625302462</v>
      </c>
      <c r="Y405" s="314" t="str">
        <f t="shared" ca="1" si="196"/>
        <v/>
      </c>
      <c r="Z405" s="315" t="str">
        <f t="shared" ca="1" si="197"/>
        <v/>
      </c>
      <c r="AA405" s="316" t="str">
        <f t="shared" ca="1" si="198"/>
        <v/>
      </c>
      <c r="AC405" s="310" t="e">
        <f t="shared" ca="1" si="199"/>
        <v>#N/A</v>
      </c>
      <c r="AD405" s="323" t="e">
        <f t="shared" ca="1" si="200"/>
        <v>#N/A</v>
      </c>
      <c r="AE405" s="324">
        <f t="shared" ca="1" si="179"/>
        <v>545.43807836727581</v>
      </c>
      <c r="AG405" s="306">
        <f t="shared" ca="1" si="201"/>
        <v>-23.586235898283469</v>
      </c>
      <c r="AH405" s="304">
        <f t="shared" ca="1" si="202"/>
        <v>-13.847002798733676</v>
      </c>
    </row>
    <row r="406" spans="1:34" x14ac:dyDescent="0.2">
      <c r="A406" s="347">
        <f t="shared" ca="1" si="180"/>
        <v>0.1</v>
      </c>
      <c r="B406" s="304">
        <f t="shared" ca="1" si="181"/>
        <v>4.1999999999999584</v>
      </c>
      <c r="D406" s="306">
        <f t="shared" ca="1" si="182"/>
        <v>-1.623597279237762</v>
      </c>
      <c r="E406" s="307">
        <f t="shared" ca="1" si="183"/>
        <v>-23.180945032257249</v>
      </c>
      <c r="F406" s="304">
        <f t="shared" ca="1" si="184"/>
        <v>23.237733984054476</v>
      </c>
      <c r="G406" s="306">
        <f t="shared" ca="1" si="185"/>
        <v>21.689500244446705</v>
      </c>
      <c r="H406" s="307">
        <f t="shared" ca="1" si="186"/>
        <v>177.64033624772961</v>
      </c>
      <c r="I406" s="304">
        <f t="shared" ca="1" si="187"/>
        <v>178.95955823330669</v>
      </c>
      <c r="J406" s="306">
        <f t="shared" ca="1" si="188"/>
        <v>62.91258035578187</v>
      </c>
      <c r="K406" s="307">
        <f t="shared" ca="1" si="189"/>
        <v>563.31801671721007</v>
      </c>
      <c r="L406" s="304">
        <f t="shared" ca="1" si="174"/>
        <v>566.82023669346313</v>
      </c>
      <c r="M406" s="306">
        <f t="shared" ca="1" si="190"/>
        <v>1.4492998630302452</v>
      </c>
      <c r="N406" s="304">
        <f t="shared" ca="1" si="191"/>
        <v>83.038765400521342</v>
      </c>
      <c r="P406" s="310">
        <f t="shared" ca="1" si="192"/>
        <v>23</v>
      </c>
      <c r="Q406" s="304">
        <f t="shared" ca="1" si="193"/>
        <v>0</v>
      </c>
      <c r="R406" s="306">
        <f t="shared" ca="1" si="194"/>
        <v>0</v>
      </c>
      <c r="S406" s="307">
        <f t="shared" ca="1" si="195"/>
        <v>7.4819999999999904</v>
      </c>
      <c r="T406" s="304">
        <f t="shared" ca="1" si="175"/>
        <v>73.398419999999916</v>
      </c>
      <c r="U406" s="311">
        <f t="shared" ca="1" si="176"/>
        <v>0</v>
      </c>
      <c r="V406" s="306">
        <f t="shared" ca="1" si="177"/>
        <v>1.1578839275920758</v>
      </c>
      <c r="W406" s="304">
        <f t="shared" ca="1" si="178"/>
        <v>98.036935466183934</v>
      </c>
      <c r="Y406" s="314" t="str">
        <f t="shared" ca="1" si="196"/>
        <v/>
      </c>
      <c r="Z406" s="315" t="str">
        <f t="shared" ca="1" si="197"/>
        <v/>
      </c>
      <c r="AA406" s="316" t="str">
        <f t="shared" ca="1" si="198"/>
        <v/>
      </c>
      <c r="AC406" s="310" t="e">
        <f t="shared" ca="1" si="199"/>
        <v>#N/A</v>
      </c>
      <c r="AD406" s="323" t="e">
        <f t="shared" ca="1" si="200"/>
        <v>#N/A</v>
      </c>
      <c r="AE406" s="324">
        <f t="shared" ca="1" si="179"/>
        <v>563.31801671721007</v>
      </c>
      <c r="AG406" s="306">
        <f t="shared" ca="1" si="201"/>
        <v>-23.207626715457529</v>
      </c>
      <c r="AH406" s="304">
        <f t="shared" ca="1" si="202"/>
        <v>-13.469158814892376</v>
      </c>
    </row>
    <row r="407" spans="1:34" x14ac:dyDescent="0.2">
      <c r="A407" s="347">
        <f t="shared" ca="1" si="180"/>
        <v>0.1</v>
      </c>
      <c r="B407" s="304">
        <f t="shared" ca="1" si="181"/>
        <v>4.2999999999999581</v>
      </c>
      <c r="D407" s="306">
        <f t="shared" ca="1" si="182"/>
        <v>-1.58805913268578</v>
      </c>
      <c r="E407" s="307">
        <f t="shared" ca="1" si="183"/>
        <v>-22.816448056995146</v>
      </c>
      <c r="F407" s="304">
        <f t="shared" ca="1" si="184"/>
        <v>22.87164693996618</v>
      </c>
      <c r="G407" s="306">
        <f t="shared" ca="1" si="185"/>
        <v>21.530694331178129</v>
      </c>
      <c r="H407" s="307">
        <f t="shared" ca="1" si="186"/>
        <v>175.35869144203008</v>
      </c>
      <c r="I407" s="304">
        <f t="shared" ca="1" si="187"/>
        <v>176.67552593000462</v>
      </c>
      <c r="J407" s="306">
        <f t="shared" ca="1" si="188"/>
        <v>65.073590084563108</v>
      </c>
      <c r="K407" s="307">
        <f t="shared" ca="1" si="189"/>
        <v>580.96796810169803</v>
      </c>
      <c r="L407" s="304">
        <f t="shared" ca="1" si="174"/>
        <v>584.60101957378538</v>
      </c>
      <c r="M407" s="306">
        <f t="shared" ca="1" si="190"/>
        <v>1.4486269060631305</v>
      </c>
      <c r="N407" s="304">
        <f t="shared" ca="1" si="191"/>
        <v>83.000207806511739</v>
      </c>
      <c r="P407" s="310">
        <f t="shared" ca="1" si="192"/>
        <v>23</v>
      </c>
      <c r="Q407" s="304">
        <f t="shared" ca="1" si="193"/>
        <v>0</v>
      </c>
      <c r="R407" s="306">
        <f t="shared" ca="1" si="194"/>
        <v>0</v>
      </c>
      <c r="S407" s="307">
        <f t="shared" ca="1" si="195"/>
        <v>7.4819999999999904</v>
      </c>
      <c r="T407" s="304">
        <f t="shared" ca="1" si="175"/>
        <v>73.398419999999916</v>
      </c>
      <c r="U407" s="311">
        <f t="shared" ca="1" si="176"/>
        <v>0</v>
      </c>
      <c r="V407" s="306">
        <f t="shared" ca="1" si="177"/>
        <v>1.155840399535375</v>
      </c>
      <c r="W407" s="304">
        <f t="shared" ca="1" si="178"/>
        <v>95.381809941141313</v>
      </c>
      <c r="Y407" s="314" t="str">
        <f t="shared" ca="1" si="196"/>
        <v/>
      </c>
      <c r="Z407" s="315" t="str">
        <f t="shared" ca="1" si="197"/>
        <v/>
      </c>
      <c r="AA407" s="316" t="str">
        <f t="shared" ca="1" si="198"/>
        <v/>
      </c>
      <c r="AC407" s="310" t="e">
        <f t="shared" ca="1" si="199"/>
        <v>#N/A</v>
      </c>
      <c r="AD407" s="323" t="e">
        <f t="shared" ca="1" si="200"/>
        <v>#N/A</v>
      </c>
      <c r="AE407" s="324">
        <f t="shared" ca="1" si="179"/>
        <v>580.96796810169803</v>
      </c>
      <c r="AG407" s="306">
        <f t="shared" ca="1" si="201"/>
        <v>-22.840723089186248</v>
      </c>
      <c r="AH407" s="304">
        <f t="shared" ca="1" si="202"/>
        <v>-13.103038688343231</v>
      </c>
    </row>
    <row r="408" spans="1:34" x14ac:dyDescent="0.2">
      <c r="A408" s="347">
        <f t="shared" ca="1" si="180"/>
        <v>0.1</v>
      </c>
      <c r="B408" s="304">
        <f t="shared" ca="1" si="181"/>
        <v>4.3999999999999577</v>
      </c>
      <c r="D408" s="306">
        <f t="shared" ca="1" si="182"/>
        <v>-1.5535652483030009</v>
      </c>
      <c r="E408" s="307">
        <f t="shared" ca="1" si="183"/>
        <v>-22.463152974157701</v>
      </c>
      <c r="F408" s="304">
        <f t="shared" ca="1" si="184"/>
        <v>22.516811641996402</v>
      </c>
      <c r="G408" s="306">
        <f t="shared" ca="1" si="185"/>
        <v>21.375337806347829</v>
      </c>
      <c r="H408" s="307">
        <f t="shared" ca="1" si="186"/>
        <v>173.1123761446143</v>
      </c>
      <c r="I408" s="304">
        <f t="shared" ca="1" si="187"/>
        <v>174.42706166409474</v>
      </c>
      <c r="J408" s="306">
        <f t="shared" ca="1" si="188"/>
        <v>67.21889169143941</v>
      </c>
      <c r="K408" s="307">
        <f t="shared" ca="1" si="189"/>
        <v>598.39152148103028</v>
      </c>
      <c r="L408" s="304">
        <f t="shared" ca="1" si="174"/>
        <v>602.15512318721312</v>
      </c>
      <c r="M408" s="306">
        <f t="shared" ca="1" si="190"/>
        <v>1.4479415175538979</v>
      </c>
      <c r="N408" s="304">
        <f t="shared" ca="1" si="191"/>
        <v>82.960937937605948</v>
      </c>
      <c r="P408" s="310">
        <f t="shared" ca="1" si="192"/>
        <v>23</v>
      </c>
      <c r="Q408" s="304">
        <f t="shared" ca="1" si="193"/>
        <v>0</v>
      </c>
      <c r="R408" s="306">
        <f t="shared" ca="1" si="194"/>
        <v>0</v>
      </c>
      <c r="S408" s="307">
        <f t="shared" ca="1" si="195"/>
        <v>7.4819999999999904</v>
      </c>
      <c r="T408" s="304">
        <f t="shared" ca="1" si="175"/>
        <v>73.398419999999916</v>
      </c>
      <c r="U408" s="311">
        <f t="shared" ca="1" si="176"/>
        <v>0</v>
      </c>
      <c r="V408" s="306">
        <f t="shared" ca="1" si="177"/>
        <v>1.1538265189978723</v>
      </c>
      <c r="W408" s="304">
        <f t="shared" ca="1" si="178"/>
        <v>92.807516164315558</v>
      </c>
      <c r="Y408" s="314" t="str">
        <f t="shared" ca="1" si="196"/>
        <v/>
      </c>
      <c r="Z408" s="315" t="str">
        <f t="shared" ca="1" si="197"/>
        <v/>
      </c>
      <c r="AA408" s="316" t="str">
        <f t="shared" ca="1" si="198"/>
        <v/>
      </c>
      <c r="AC408" s="310" t="e">
        <f t="shared" ca="1" si="199"/>
        <v>#N/A</v>
      </c>
      <c r="AD408" s="323" t="e">
        <f t="shared" ca="1" si="200"/>
        <v>#N/A</v>
      </c>
      <c r="AE408" s="324">
        <f t="shared" ca="1" si="179"/>
        <v>598.39152148103028</v>
      </c>
      <c r="AG408" s="306">
        <f t="shared" ca="1" si="201"/>
        <v>-22.485052351105175</v>
      </c>
      <c r="AH408" s="304">
        <f t="shared" ca="1" si="202"/>
        <v>-12.748170267460765</v>
      </c>
    </row>
    <row r="409" spans="1:34" x14ac:dyDescent="0.2">
      <c r="A409" s="347">
        <f t="shared" ca="1" si="180"/>
        <v>0.1</v>
      </c>
      <c r="B409" s="304">
        <f t="shared" ca="1" si="181"/>
        <v>4.4999999999999574</v>
      </c>
      <c r="D409" s="306">
        <f t="shared" ca="1" si="182"/>
        <v>-1.520073429709188</v>
      </c>
      <c r="E409" s="307">
        <f t="shared" ca="1" si="183"/>
        <v>-22.120613554519146</v>
      </c>
      <c r="F409" s="304">
        <f t="shared" ca="1" si="184"/>
        <v>22.172779872178499</v>
      </c>
      <c r="G409" s="306">
        <f t="shared" ca="1" si="185"/>
        <v>21.223330463376911</v>
      </c>
      <c r="H409" s="307">
        <f t="shared" ca="1" si="186"/>
        <v>170.90031478916239</v>
      </c>
      <c r="I409" s="304">
        <f t="shared" ca="1" si="187"/>
        <v>172.21308704913369</v>
      </c>
      <c r="J409" s="306">
        <f t="shared" ca="1" si="188"/>
        <v>69.348825104925652</v>
      </c>
      <c r="K409" s="307">
        <f t="shared" ca="1" si="189"/>
        <v>615.59215602771917</v>
      </c>
      <c r="L409" s="304">
        <f t="shared" ca="1" si="174"/>
        <v>619.48604674059391</v>
      </c>
      <c r="M409" s="306">
        <f t="shared" ca="1" si="190"/>
        <v>1.4472434426700134</v>
      </c>
      <c r="N409" s="304">
        <f t="shared" ca="1" si="191"/>
        <v>82.920941192975278</v>
      </c>
      <c r="P409" s="310">
        <f t="shared" ca="1" si="192"/>
        <v>23</v>
      </c>
      <c r="Q409" s="304">
        <f t="shared" ca="1" si="193"/>
        <v>0</v>
      </c>
      <c r="R409" s="306">
        <f t="shared" ca="1" si="194"/>
        <v>0</v>
      </c>
      <c r="S409" s="307">
        <f t="shared" ca="1" si="195"/>
        <v>7.4819999999999904</v>
      </c>
      <c r="T409" s="304">
        <f t="shared" ca="1" si="175"/>
        <v>73.398419999999916</v>
      </c>
      <c r="U409" s="311">
        <f t="shared" ca="1" si="176"/>
        <v>0</v>
      </c>
      <c r="V409" s="306">
        <f t="shared" ca="1" si="177"/>
        <v>1.1518417433342105</v>
      </c>
      <c r="W409" s="304">
        <f t="shared" ca="1" si="178"/>
        <v>90.310868915661246</v>
      </c>
      <c r="Y409" s="314" t="str">
        <f t="shared" ca="1" si="196"/>
        <v/>
      </c>
      <c r="Z409" s="315" t="str">
        <f t="shared" ca="1" si="197"/>
        <v/>
      </c>
      <c r="AA409" s="316" t="str">
        <f t="shared" ca="1" si="198"/>
        <v/>
      </c>
      <c r="AC409" s="310" t="e">
        <f t="shared" ca="1" si="199"/>
        <v>#N/A</v>
      </c>
      <c r="AD409" s="323" t="e">
        <f t="shared" ca="1" si="200"/>
        <v>#N/A</v>
      </c>
      <c r="AE409" s="324">
        <f t="shared" ca="1" si="179"/>
        <v>615.59215602771917</v>
      </c>
      <c r="AG409" s="306">
        <f t="shared" ca="1" si="201"/>
        <v>-22.140165754136575</v>
      </c>
      <c r="AH409" s="304">
        <f t="shared" ca="1" si="202"/>
        <v>-12.404105341394772</v>
      </c>
    </row>
    <row r="410" spans="1:34" x14ac:dyDescent="0.2">
      <c r="A410" s="347">
        <f t="shared" ca="1" si="180"/>
        <v>0.1</v>
      </c>
      <c r="B410" s="304">
        <f t="shared" ca="1" si="181"/>
        <v>4.599999999999957</v>
      </c>
      <c r="D410" s="306">
        <f t="shared" ca="1" si="182"/>
        <v>-1.4875435921761655</v>
      </c>
      <c r="E410" s="307">
        <f t="shared" ca="1" si="183"/>
        <v>-21.788405962447527</v>
      </c>
      <c r="F410" s="304">
        <f t="shared" ca="1" si="184"/>
        <v>21.839125905654818</v>
      </c>
      <c r="G410" s="306">
        <f t="shared" ca="1" si="185"/>
        <v>21.074576104159295</v>
      </c>
      <c r="H410" s="307">
        <f t="shared" ca="1" si="186"/>
        <v>168.72147419291764</v>
      </c>
      <c r="I410" s="304">
        <f t="shared" ca="1" si="187"/>
        <v>170.03256632716386</v>
      </c>
      <c r="J410" s="306">
        <f t="shared" ca="1" si="188"/>
        <v>71.463720433302456</v>
      </c>
      <c r="K410" s="307">
        <f t="shared" ca="1" si="189"/>
        <v>632.57324547682322</v>
      </c>
      <c r="L410" s="304">
        <f t="shared" ca="1" si="174"/>
        <v>636.59718365010883</v>
      </c>
      <c r="M410" s="306">
        <f t="shared" ca="1" si="190"/>
        <v>1.446532418574118</v>
      </c>
      <c r="N410" s="304">
        <f t="shared" ca="1" si="191"/>
        <v>82.880202513148376</v>
      </c>
      <c r="P410" s="310">
        <f t="shared" ca="1" si="192"/>
        <v>23</v>
      </c>
      <c r="Q410" s="304">
        <f t="shared" ca="1" si="193"/>
        <v>0</v>
      </c>
      <c r="R410" s="306">
        <f t="shared" ca="1" si="194"/>
        <v>0</v>
      </c>
      <c r="S410" s="307">
        <f t="shared" ca="1" si="195"/>
        <v>7.4819999999999904</v>
      </c>
      <c r="T410" s="304">
        <f t="shared" ca="1" si="175"/>
        <v>73.398419999999916</v>
      </c>
      <c r="U410" s="311">
        <f t="shared" ca="1" si="176"/>
        <v>0</v>
      </c>
      <c r="V410" s="306">
        <f t="shared" ca="1" si="177"/>
        <v>1.1498855470920009</v>
      </c>
      <c r="W410" s="304">
        <f t="shared" ca="1" si="178"/>
        <v>87.888841197500767</v>
      </c>
      <c r="Y410" s="314" t="str">
        <f t="shared" ca="1" si="196"/>
        <v/>
      </c>
      <c r="Z410" s="315" t="str">
        <f t="shared" ca="1" si="197"/>
        <v/>
      </c>
      <c r="AA410" s="316" t="str">
        <f t="shared" ca="1" si="198"/>
        <v/>
      </c>
      <c r="AC410" s="310" t="e">
        <f t="shared" ca="1" si="199"/>
        <v>#N/A</v>
      </c>
      <c r="AD410" s="323" t="e">
        <f t="shared" ca="1" si="200"/>
        <v>#N/A</v>
      </c>
      <c r="AE410" s="324">
        <f t="shared" ca="1" si="179"/>
        <v>632.57324547682322</v>
      </c>
      <c r="AG410" s="306">
        <f t="shared" ca="1" si="201"/>
        <v>-21.805637023975926</v>
      </c>
      <c r="AH410" s="304">
        <f t="shared" ca="1" si="202"/>
        <v>-12.070418192416648</v>
      </c>
    </row>
    <row r="411" spans="1:34" x14ac:dyDescent="0.2">
      <c r="A411" s="347">
        <f t="shared" ca="1" si="180"/>
        <v>0.1</v>
      </c>
      <c r="B411" s="304">
        <f t="shared" ca="1" si="181"/>
        <v>4.6999999999999567</v>
      </c>
      <c r="D411" s="306">
        <f t="shared" ca="1" si="182"/>
        <v>-1.4559376361498417</v>
      </c>
      <c r="E411" s="307">
        <f t="shared" ca="1" si="183"/>
        <v>-21.466127415804671</v>
      </c>
      <c r="F411" s="304">
        <f t="shared" ca="1" si="184"/>
        <v>21.515445164623447</v>
      </c>
      <c r="G411" s="306">
        <f t="shared" ca="1" si="185"/>
        <v>20.928982340544312</v>
      </c>
      <c r="H411" s="307">
        <f t="shared" ca="1" si="186"/>
        <v>166.57486145133717</v>
      </c>
      <c r="I411" s="304">
        <f t="shared" ca="1" si="187"/>
        <v>167.88450425617901</v>
      </c>
      <c r="J411" s="306">
        <f t="shared" ca="1" si="188"/>
        <v>73.563898355537631</v>
      </c>
      <c r="K411" s="307">
        <f t="shared" ca="1" si="189"/>
        <v>649.33806225903595</v>
      </c>
      <c r="L411" s="304">
        <f t="shared" ca="1" si="174"/>
        <v>653.49182568688911</v>
      </c>
      <c r="M411" s="306">
        <f t="shared" ca="1" si="190"/>
        <v>1.4458081741322293</v>
      </c>
      <c r="N411" s="304">
        <f t="shared" ca="1" si="191"/>
        <v>82.838706363292346</v>
      </c>
      <c r="P411" s="310">
        <f t="shared" ca="1" si="192"/>
        <v>23</v>
      </c>
      <c r="Q411" s="304">
        <f t="shared" ca="1" si="193"/>
        <v>0</v>
      </c>
      <c r="R411" s="306">
        <f t="shared" ca="1" si="194"/>
        <v>0</v>
      </c>
      <c r="S411" s="307">
        <f t="shared" ca="1" si="195"/>
        <v>7.4819999999999904</v>
      </c>
      <c r="T411" s="304">
        <f t="shared" ca="1" si="175"/>
        <v>73.398419999999916</v>
      </c>
      <c r="U411" s="311">
        <f t="shared" ca="1" si="176"/>
        <v>0</v>
      </c>
      <c r="V411" s="306">
        <f t="shared" ca="1" si="177"/>
        <v>1.1479574213111314</v>
      </c>
      <c r="W411" s="304">
        <f t="shared" ca="1" si="178"/>
        <v>85.538554862975403</v>
      </c>
      <c r="Y411" s="314" t="str">
        <f t="shared" ca="1" si="196"/>
        <v/>
      </c>
      <c r="Z411" s="315" t="str">
        <f t="shared" ca="1" si="197"/>
        <v/>
      </c>
      <c r="AA411" s="316" t="str">
        <f t="shared" ca="1" si="198"/>
        <v/>
      </c>
      <c r="AC411" s="310" t="e">
        <f t="shared" ca="1" si="199"/>
        <v>#N/A</v>
      </c>
      <c r="AD411" s="323" t="e">
        <f t="shared" ca="1" si="200"/>
        <v>#N/A</v>
      </c>
      <c r="AE411" s="324">
        <f t="shared" ca="1" si="179"/>
        <v>649.33806225903595</v>
      </c>
      <c r="AG411" s="306">
        <f t="shared" ca="1" si="201"/>
        <v>-21.481061012133949</v>
      </c>
      <c r="AH411" s="304">
        <f t="shared" ca="1" si="202"/>
        <v>-11.746704249866463</v>
      </c>
    </row>
    <row r="412" spans="1:34" x14ac:dyDescent="0.2">
      <c r="A412" s="347">
        <f t="shared" ca="1" si="180"/>
        <v>0.1</v>
      </c>
      <c r="B412" s="304">
        <f t="shared" ca="1" si="181"/>
        <v>4.7999999999999563</v>
      </c>
      <c r="D412" s="306">
        <f t="shared" ca="1" si="182"/>
        <v>-1.4252193295579334</v>
      </c>
      <c r="E412" s="307">
        <f t="shared" ca="1" si="183"/>
        <v>-21.153394938939297</v>
      </c>
      <c r="F412" s="304">
        <f t="shared" ca="1" si="184"/>
        <v>21.201352965791788</v>
      </c>
      <c r="G412" s="306">
        <f t="shared" ca="1" si="185"/>
        <v>20.786460407588518</v>
      </c>
      <c r="H412" s="307">
        <f t="shared" ca="1" si="186"/>
        <v>164.45952195744323</v>
      </c>
      <c r="I412" s="304">
        <f t="shared" ca="1" si="187"/>
        <v>165.76794412294251</v>
      </c>
      <c r="J412" s="306">
        <f t="shared" ca="1" si="188"/>
        <v>75.649670492944267</v>
      </c>
      <c r="K412" s="307">
        <f t="shared" ca="1" si="189"/>
        <v>665.88978142947497</v>
      </c>
      <c r="L412" s="304">
        <f t="shared" ca="1" si="174"/>
        <v>670.17316691873373</v>
      </c>
      <c r="M412" s="306">
        <f t="shared" ca="1" si="190"/>
        <v>1.445070429608549</v>
      </c>
      <c r="N412" s="304">
        <f t="shared" ca="1" si="191"/>
        <v>82.796436715726571</v>
      </c>
      <c r="P412" s="310">
        <f t="shared" ca="1" si="192"/>
        <v>23</v>
      </c>
      <c r="Q412" s="304">
        <f t="shared" ca="1" si="193"/>
        <v>0</v>
      </c>
      <c r="R412" s="306">
        <f t="shared" ca="1" si="194"/>
        <v>0</v>
      </c>
      <c r="S412" s="307">
        <f t="shared" ca="1" si="195"/>
        <v>7.4819999999999904</v>
      </c>
      <c r="T412" s="304">
        <f t="shared" ca="1" si="175"/>
        <v>73.398419999999916</v>
      </c>
      <c r="U412" s="311">
        <f t="shared" ca="1" si="176"/>
        <v>0</v>
      </c>
      <c r="V412" s="306">
        <f t="shared" ca="1" si="177"/>
        <v>1.1460568728587612</v>
      </c>
      <c r="W412" s="304">
        <f t="shared" ca="1" si="178"/>
        <v>83.25727188894767</v>
      </c>
      <c r="Y412" s="314" t="str">
        <f t="shared" ca="1" si="196"/>
        <v/>
      </c>
      <c r="Z412" s="315" t="str">
        <f t="shared" ca="1" si="197"/>
        <v/>
      </c>
      <c r="AA412" s="316" t="str">
        <f t="shared" ca="1" si="198"/>
        <v/>
      </c>
      <c r="AC412" s="310" t="e">
        <f t="shared" ca="1" si="199"/>
        <v>#N/A</v>
      </c>
      <c r="AD412" s="323" t="e">
        <f t="shared" ca="1" si="200"/>
        <v>#N/A</v>
      </c>
      <c r="AE412" s="324">
        <f t="shared" ca="1" si="179"/>
        <v>665.88978142947497</v>
      </c>
      <c r="AG412" s="306">
        <f t="shared" ca="1" si="201"/>
        <v>-21.166052442437763</v>
      </c>
      <c r="AH412" s="304">
        <f t="shared" ca="1" si="202"/>
        <v>-11.432578837606991</v>
      </c>
    </row>
    <row r="413" spans="1:34" x14ac:dyDescent="0.2">
      <c r="A413" s="347">
        <f t="shared" ca="1" si="180"/>
        <v>0.1</v>
      </c>
      <c r="B413" s="304">
        <f t="shared" ca="1" si="181"/>
        <v>4.8999999999999559</v>
      </c>
      <c r="D413" s="306">
        <f t="shared" ca="1" si="182"/>
        <v>-1.3953541982105826</v>
      </c>
      <c r="E413" s="307">
        <f t="shared" ca="1" si="183"/>
        <v>-20.849844201432575</v>
      </c>
      <c r="F413" s="304">
        <f t="shared" ca="1" si="184"/>
        <v>20.896483353963543</v>
      </c>
      <c r="G413" s="306">
        <f t="shared" ca="1" si="185"/>
        <v>20.646924987767459</v>
      </c>
      <c r="H413" s="307">
        <f t="shared" ca="1" si="186"/>
        <v>162.37453753729997</v>
      </c>
      <c r="I413" s="304">
        <f t="shared" ca="1" si="187"/>
        <v>163.68196587254974</v>
      </c>
      <c r="J413" s="306">
        <f t="shared" ca="1" si="188"/>
        <v>77.721339762712063</v>
      </c>
      <c r="K413" s="307">
        <f t="shared" ca="1" si="189"/>
        <v>682.2314844042121</v>
      </c>
      <c r="L413" s="304">
        <f t="shared" ca="1" si="174"/>
        <v>686.64430745975437</v>
      </c>
      <c r="M413" s="306">
        <f t="shared" ca="1" si="190"/>
        <v>1.4443188963461757</v>
      </c>
      <c r="N413" s="304">
        <f t="shared" ca="1" si="191"/>
        <v>82.753377031628887</v>
      </c>
      <c r="P413" s="310">
        <f t="shared" ca="1" si="192"/>
        <v>23</v>
      </c>
      <c r="Q413" s="304">
        <f t="shared" ca="1" si="193"/>
        <v>0</v>
      </c>
      <c r="R413" s="306">
        <f t="shared" ca="1" si="194"/>
        <v>0</v>
      </c>
      <c r="S413" s="307">
        <f t="shared" ca="1" si="195"/>
        <v>7.4819999999999904</v>
      </c>
      <c r="T413" s="304">
        <f t="shared" ca="1" si="175"/>
        <v>73.398419999999916</v>
      </c>
      <c r="U413" s="311">
        <f t="shared" ca="1" si="176"/>
        <v>0</v>
      </c>
      <c r="V413" s="306">
        <f t="shared" ca="1" si="177"/>
        <v>1.1441834237978279</v>
      </c>
      <c r="W413" s="304">
        <f t="shared" ca="1" si="178"/>
        <v>81.042386243043723</v>
      </c>
      <c r="Y413" s="314" t="str">
        <f t="shared" ca="1" si="196"/>
        <v/>
      </c>
      <c r="Z413" s="315" t="str">
        <f t="shared" ca="1" si="197"/>
        <v/>
      </c>
      <c r="AA413" s="316" t="str">
        <f t="shared" ca="1" si="198"/>
        <v/>
      </c>
      <c r="AC413" s="310" t="e">
        <f t="shared" ca="1" si="199"/>
        <v>#N/A</v>
      </c>
      <c r="AD413" s="323" t="e">
        <f t="shared" ca="1" si="200"/>
        <v>#N/A</v>
      </c>
      <c r="AE413" s="324">
        <f t="shared" ca="1" si="179"/>
        <v>682.2314844042121</v>
      </c>
      <c r="AG413" s="306">
        <f t="shared" ca="1" si="201"/>
        <v>-20.860244743614761</v>
      </c>
      <c r="AH413" s="304">
        <f t="shared" ca="1" si="202"/>
        <v>-11.127676007611305</v>
      </c>
    </row>
    <row r="414" spans="1:34" x14ac:dyDescent="0.2">
      <c r="A414" s="347">
        <f t="shared" ca="1" si="180"/>
        <v>0.1</v>
      </c>
      <c r="B414" s="304">
        <f t="shared" ca="1" si="181"/>
        <v>4.9999999999999556</v>
      </c>
      <c r="D414" s="306">
        <f t="shared" ca="1" si="182"/>
        <v>-1.3663094236620792</v>
      </c>
      <c r="E414" s="307">
        <f t="shared" ca="1" si="183"/>
        <v>-20.555128435901484</v>
      </c>
      <c r="F414" s="304">
        <f t="shared" ca="1" si="184"/>
        <v>20.600488015034827</v>
      </c>
      <c r="G414" s="306">
        <f t="shared" ca="1" si="185"/>
        <v>20.510294045401253</v>
      </c>
      <c r="H414" s="307">
        <f t="shared" ca="1" si="186"/>
        <v>160.31902469370982</v>
      </c>
      <c r="I414" s="304">
        <f t="shared" ca="1" si="187"/>
        <v>161.62568434679918</v>
      </c>
      <c r="J414" s="306">
        <f t="shared" ca="1" si="188"/>
        <v>79.779200714370504</v>
      </c>
      <c r="K414" s="307">
        <f t="shared" ca="1" si="189"/>
        <v>698.36616251576254</v>
      </c>
      <c r="L414" s="304">
        <f t="shared" ca="1" si="174"/>
        <v>702.90825703900805</v>
      </c>
      <c r="M414" s="306">
        <f t="shared" ca="1" si="190"/>
        <v>1.4435532764329839</v>
      </c>
      <c r="N414" s="304">
        <f t="shared" ca="1" si="191"/>
        <v>82.70951024189182</v>
      </c>
      <c r="P414" s="310">
        <f t="shared" ca="1" si="192"/>
        <v>23</v>
      </c>
      <c r="Q414" s="304">
        <f t="shared" ca="1" si="193"/>
        <v>0</v>
      </c>
      <c r="R414" s="306">
        <f t="shared" ca="1" si="194"/>
        <v>0</v>
      </c>
      <c r="S414" s="307">
        <f t="shared" ca="1" si="195"/>
        <v>7.4819999999999904</v>
      </c>
      <c r="T414" s="304">
        <f t="shared" ca="1" si="175"/>
        <v>73.398419999999916</v>
      </c>
      <c r="U414" s="311">
        <f t="shared" ca="1" si="176"/>
        <v>0</v>
      </c>
      <c r="V414" s="306">
        <f t="shared" ca="1" si="177"/>
        <v>1.142336610787078</v>
      </c>
      <c r="W414" s="304">
        <f t="shared" ca="1" si="178"/>
        <v>78.891416298913867</v>
      </c>
      <c r="Y414" s="314" t="str">
        <f t="shared" ca="1" si="196"/>
        <v/>
      </c>
      <c r="Z414" s="315" t="str">
        <f t="shared" ca="1" si="197"/>
        <v/>
      </c>
      <c r="AA414" s="316" t="str">
        <f t="shared" ca="1" si="198"/>
        <v/>
      </c>
      <c r="AC414" s="310">
        <f t="shared" ca="1" si="199"/>
        <v>4.9999999999999556</v>
      </c>
      <c r="AD414" s="323">
        <f t="shared" ca="1" si="200"/>
        <v>79.779200714370504</v>
      </c>
      <c r="AE414" s="324">
        <f t="shared" ca="1" si="179"/>
        <v>698.36616251576254</v>
      </c>
      <c r="AG414" s="306">
        <f t="shared" ca="1" si="201"/>
        <v>-20.563288961231898</v>
      </c>
      <c r="AH414" s="304">
        <f t="shared" ca="1" si="202"/>
        <v>-10.831647452959613</v>
      </c>
    </row>
    <row r="415" spans="1:34" x14ac:dyDescent="0.2">
      <c r="A415" s="347">
        <f t="shared" ca="1" si="180"/>
        <v>0.1</v>
      </c>
      <c r="B415" s="304">
        <f t="shared" ca="1" si="181"/>
        <v>5.0999999999999552</v>
      </c>
      <c r="D415" s="306">
        <f t="shared" ca="1" si="182"/>
        <v>-1.3380537479569825</v>
      </c>
      <c r="E415" s="307">
        <f t="shared" ca="1" si="183"/>
        <v>-20.268917428749603</v>
      </c>
      <c r="F415" s="304">
        <f t="shared" ca="1" si="184"/>
        <v>20.313035262261796</v>
      </c>
      <c r="G415" s="306">
        <f t="shared" ca="1" si="185"/>
        <v>20.376488670605553</v>
      </c>
      <c r="H415" s="307">
        <f t="shared" ca="1" si="186"/>
        <v>158.29213295083485</v>
      </c>
      <c r="I415" s="304">
        <f t="shared" ca="1" si="187"/>
        <v>159.5982476240516</v>
      </c>
      <c r="J415" s="306">
        <f t="shared" ca="1" si="188"/>
        <v>81.823539850170846</v>
      </c>
      <c r="K415" s="307">
        <f t="shared" ca="1" si="189"/>
        <v>714.29672039798982</v>
      </c>
      <c r="L415" s="304">
        <f t="shared" ca="1" si="174"/>
        <v>718.96793839846328</v>
      </c>
      <c r="M415" s="306">
        <f t="shared" ca="1" si="190"/>
        <v>1.4427732623518834</v>
      </c>
      <c r="N415" s="304">
        <f t="shared" ca="1" si="191"/>
        <v>82.664818727083983</v>
      </c>
      <c r="P415" s="310">
        <f t="shared" ca="1" si="192"/>
        <v>23</v>
      </c>
      <c r="Q415" s="304">
        <f t="shared" ca="1" si="193"/>
        <v>0</v>
      </c>
      <c r="R415" s="306">
        <f t="shared" ca="1" si="194"/>
        <v>0</v>
      </c>
      <c r="S415" s="307">
        <f t="shared" ca="1" si="195"/>
        <v>7.4819999999999904</v>
      </c>
      <c r="T415" s="304">
        <f t="shared" ca="1" si="175"/>
        <v>73.398419999999916</v>
      </c>
      <c r="U415" s="311">
        <f t="shared" ca="1" si="176"/>
        <v>0</v>
      </c>
      <c r="V415" s="306">
        <f t="shared" ca="1" si="177"/>
        <v>1.1405159845107478</v>
      </c>
      <c r="W415" s="304">
        <f t="shared" ca="1" si="178"/>
        <v>76.801997757754691</v>
      </c>
      <c r="Y415" s="314" t="str">
        <f t="shared" ca="1" si="196"/>
        <v/>
      </c>
      <c r="Z415" s="315" t="str">
        <f t="shared" ca="1" si="197"/>
        <v/>
      </c>
      <c r="AA415" s="316" t="str">
        <f t="shared" ca="1" si="198"/>
        <v/>
      </c>
      <c r="AC415" s="310" t="e">
        <f t="shared" ca="1" si="199"/>
        <v>#N/A</v>
      </c>
      <c r="AD415" s="323" t="e">
        <f t="shared" ca="1" si="200"/>
        <v>#N/A</v>
      </c>
      <c r="AE415" s="324">
        <f t="shared" ca="1" si="179"/>
        <v>714.29672039798982</v>
      </c>
      <c r="AG415" s="306">
        <f t="shared" ca="1" si="201"/>
        <v>-20.274852742849461</v>
      </c>
      <c r="AH415" s="304">
        <f t="shared" ca="1" si="202"/>
        <v>-10.544161494107721</v>
      </c>
    </row>
    <row r="416" spans="1:34" x14ac:dyDescent="0.2">
      <c r="A416" s="347">
        <f t="shared" ca="1" si="180"/>
        <v>0.1</v>
      </c>
      <c r="B416" s="304">
        <f t="shared" ca="1" si="181"/>
        <v>5.1999999999999549</v>
      </c>
      <c r="D416" s="306">
        <f t="shared" ca="1" si="182"/>
        <v>-1.3105573847337679</v>
      </c>
      <c r="E416" s="307">
        <f t="shared" ca="1" si="183"/>
        <v>-19.990896578282296</v>
      </c>
      <c r="F416" s="304">
        <f t="shared" ca="1" si="184"/>
        <v>20.033809090191983</v>
      </c>
      <c r="G416" s="306">
        <f t="shared" ca="1" si="185"/>
        <v>20.245432932132175</v>
      </c>
      <c r="H416" s="307">
        <f t="shared" ca="1" si="186"/>
        <v>156.29304329300663</v>
      </c>
      <c r="I416" s="304">
        <f t="shared" ca="1" si="187"/>
        <v>157.59883545381643</v>
      </c>
      <c r="J416" s="306">
        <f t="shared" ca="1" si="188"/>
        <v>83.854635930307737</v>
      </c>
      <c r="K416" s="307">
        <f t="shared" ca="1" si="189"/>
        <v>730.02597921018184</v>
      </c>
      <c r="L416" s="304">
        <f t="shared" ca="1" si="174"/>
        <v>734.82619052997109</v>
      </c>
      <c r="M416" s="306">
        <f t="shared" ca="1" si="190"/>
        <v>1.4419785366146209</v>
      </c>
      <c r="N416" s="304">
        <f t="shared" ca="1" si="191"/>
        <v>82.619284296468422</v>
      </c>
      <c r="P416" s="310">
        <f t="shared" ca="1" si="192"/>
        <v>23</v>
      </c>
      <c r="Q416" s="304">
        <f t="shared" ca="1" si="193"/>
        <v>0</v>
      </c>
      <c r="R416" s="306">
        <f t="shared" ca="1" si="194"/>
        <v>0</v>
      </c>
      <c r="S416" s="307">
        <f t="shared" ca="1" si="195"/>
        <v>7.4819999999999904</v>
      </c>
      <c r="T416" s="304">
        <f t="shared" ca="1" si="175"/>
        <v>73.398419999999916</v>
      </c>
      <c r="U416" s="311">
        <f t="shared" ca="1" si="176"/>
        <v>0</v>
      </c>
      <c r="V416" s="306">
        <f t="shared" ca="1" si="177"/>
        <v>1.1387211091361551</v>
      </c>
      <c r="W416" s="304">
        <f t="shared" ca="1" si="178"/>
        <v>74.771877037722234</v>
      </c>
      <c r="Y416" s="314" t="str">
        <f t="shared" ca="1" si="196"/>
        <v/>
      </c>
      <c r="Z416" s="315" t="str">
        <f t="shared" ca="1" si="197"/>
        <v/>
      </c>
      <c r="AA416" s="316" t="str">
        <f t="shared" ca="1" si="198"/>
        <v/>
      </c>
      <c r="AC416" s="310" t="e">
        <f t="shared" ca="1" si="199"/>
        <v>#N/A</v>
      </c>
      <c r="AD416" s="323" t="e">
        <f t="shared" ca="1" si="200"/>
        <v>#N/A</v>
      </c>
      <c r="AE416" s="324">
        <f t="shared" ca="1" si="179"/>
        <v>730.02597921018184</v>
      </c>
      <c r="AG416" s="306">
        <f t="shared" ca="1" si="201"/>
        <v>-19.994619390778038</v>
      </c>
      <c r="AH416" s="304">
        <f t="shared" ca="1" si="202"/>
        <v>-10.264902132819405</v>
      </c>
    </row>
    <row r="417" spans="1:34" x14ac:dyDescent="0.2">
      <c r="A417" s="347">
        <f t="shared" ca="1" si="180"/>
        <v>0.1</v>
      </c>
      <c r="B417" s="304">
        <f t="shared" ca="1" si="181"/>
        <v>5.2999999999999545</v>
      </c>
      <c r="D417" s="306">
        <f t="shared" ca="1" si="182"/>
        <v>-1.2837919362041743</v>
      </c>
      <c r="E417" s="307">
        <f t="shared" ca="1" si="183"/>
        <v>-19.720766015080731</v>
      </c>
      <c r="F417" s="304">
        <f t="shared" ca="1" si="184"/>
        <v>19.762508291131113</v>
      </c>
      <c r="G417" s="306">
        <f t="shared" ca="1" si="185"/>
        <v>20.117053738511757</v>
      </c>
      <c r="H417" s="307">
        <f t="shared" ca="1" si="186"/>
        <v>154.32096669149857</v>
      </c>
      <c r="I417" s="304">
        <f t="shared" ca="1" si="187"/>
        <v>155.62665777981863</v>
      </c>
      <c r="J417" s="306">
        <f t="shared" ca="1" si="188"/>
        <v>85.872760263839936</v>
      </c>
      <c r="K417" s="307">
        <f t="shared" ca="1" si="189"/>
        <v>745.55667970940715</v>
      </c>
      <c r="L417" s="304">
        <f t="shared" ca="1" si="174"/>
        <v>750.48577176029551</v>
      </c>
      <c r="M417" s="306">
        <f t="shared" ca="1" si="190"/>
        <v>1.4411687713782408</v>
      </c>
      <c r="N417" s="304">
        <f t="shared" ca="1" si="191"/>
        <v>82.57288816602744</v>
      </c>
      <c r="P417" s="310">
        <f t="shared" ca="1" si="192"/>
        <v>23</v>
      </c>
      <c r="Q417" s="304">
        <f t="shared" ca="1" si="193"/>
        <v>0</v>
      </c>
      <c r="R417" s="306">
        <f t="shared" ca="1" si="194"/>
        <v>0</v>
      </c>
      <c r="S417" s="307">
        <f t="shared" ca="1" si="195"/>
        <v>7.4819999999999904</v>
      </c>
      <c r="T417" s="304">
        <f t="shared" ca="1" si="175"/>
        <v>73.398419999999916</v>
      </c>
      <c r="U417" s="311">
        <f t="shared" ca="1" si="176"/>
        <v>0</v>
      </c>
      <c r="V417" s="306">
        <f t="shared" ca="1" si="177"/>
        <v>1.1369515617975872</v>
      </c>
      <c r="W417" s="304">
        <f t="shared" ca="1" si="178"/>
        <v>72.798905096116854</v>
      </c>
      <c r="Y417" s="314" t="str">
        <f t="shared" ca="1" si="196"/>
        <v/>
      </c>
      <c r="Z417" s="315" t="str">
        <f t="shared" ca="1" si="197"/>
        <v/>
      </c>
      <c r="AA417" s="316" t="str">
        <f t="shared" ca="1" si="198"/>
        <v/>
      </c>
      <c r="AC417" s="310" t="e">
        <f t="shared" ca="1" si="199"/>
        <v>#N/A</v>
      </c>
      <c r="AD417" s="323" t="e">
        <f t="shared" ca="1" si="200"/>
        <v>#N/A</v>
      </c>
      <c r="AE417" s="324">
        <f t="shared" ca="1" si="179"/>
        <v>745.55667970940715</v>
      </c>
      <c r="AG417" s="306">
        <f t="shared" ca="1" si="201"/>
        <v>-19.722286977306666</v>
      </c>
      <c r="AH417" s="304">
        <f t="shared" ca="1" si="202"/>
        <v>-9.9935681686343667</v>
      </c>
    </row>
    <row r="418" spans="1:34" x14ac:dyDescent="0.2">
      <c r="A418" s="347">
        <f t="shared" ca="1" si="180"/>
        <v>0.1</v>
      </c>
      <c r="B418" s="304">
        <f t="shared" ca="1" si="181"/>
        <v>5.3999999999999542</v>
      </c>
      <c r="D418" s="306">
        <f t="shared" ca="1" si="182"/>
        <v>-1.2577303155672044</v>
      </c>
      <c r="E418" s="307">
        <f t="shared" ca="1" si="183"/>
        <v>-19.458239779961602</v>
      </c>
      <c r="F418" s="304">
        <f t="shared" ca="1" si="184"/>
        <v>19.498845629451424</v>
      </c>
      <c r="G418" s="306">
        <f t="shared" ca="1" si="185"/>
        <v>19.991280706955038</v>
      </c>
      <c r="H418" s="307">
        <f t="shared" ca="1" si="186"/>
        <v>152.37514271350241</v>
      </c>
      <c r="I418" s="304">
        <f t="shared" ca="1" si="187"/>
        <v>153.68095334576924</v>
      </c>
      <c r="J418" s="306">
        <f t="shared" ca="1" si="188"/>
        <v>87.878176986113274</v>
      </c>
      <c r="K418" s="307">
        <f t="shared" ca="1" si="189"/>
        <v>760.89148517965725</v>
      </c>
      <c r="L418" s="304">
        <f t="shared" ca="1" si="174"/>
        <v>765.94936269266987</v>
      </c>
      <c r="M418" s="306">
        <f t="shared" ca="1" si="190"/>
        <v>1.4403436280432598</v>
      </c>
      <c r="N418" s="304">
        <f t="shared" ca="1" si="191"/>
        <v>82.525610935439673</v>
      </c>
      <c r="P418" s="310">
        <f t="shared" ca="1" si="192"/>
        <v>23</v>
      </c>
      <c r="Q418" s="304">
        <f t="shared" ca="1" si="193"/>
        <v>0</v>
      </c>
      <c r="R418" s="306">
        <f t="shared" ca="1" si="194"/>
        <v>0</v>
      </c>
      <c r="S418" s="307">
        <f t="shared" ca="1" si="195"/>
        <v>7.4819999999999904</v>
      </c>
      <c r="T418" s="304">
        <f t="shared" ca="1" si="175"/>
        <v>73.398419999999916</v>
      </c>
      <c r="U418" s="311">
        <f t="shared" ca="1" si="176"/>
        <v>0</v>
      </c>
      <c r="V418" s="306">
        <f t="shared" ca="1" si="177"/>
        <v>1.1352069321049665</v>
      </c>
      <c r="W418" s="304">
        <f t="shared" ca="1" si="178"/>
        <v>70.881031652165831</v>
      </c>
      <c r="Y418" s="314" t="str">
        <f t="shared" ca="1" si="196"/>
        <v/>
      </c>
      <c r="Z418" s="315" t="str">
        <f t="shared" ca="1" si="197"/>
        <v/>
      </c>
      <c r="AA418" s="316" t="str">
        <f t="shared" ca="1" si="198"/>
        <v/>
      </c>
      <c r="AC418" s="310" t="e">
        <f t="shared" ca="1" si="199"/>
        <v>#N/A</v>
      </c>
      <c r="AD418" s="323" t="e">
        <f t="shared" ca="1" si="200"/>
        <v>#N/A</v>
      </c>
      <c r="AE418" s="324">
        <f t="shared" ca="1" si="179"/>
        <v>760.89148517965725</v>
      </c>
      <c r="AG418" s="306">
        <f t="shared" ca="1" si="201"/>
        <v>-19.457567517704209</v>
      </c>
      <c r="AH418" s="304">
        <f t="shared" ca="1" si="202"/>
        <v>-9.7298723731778871</v>
      </c>
    </row>
    <row r="419" spans="1:34" x14ac:dyDescent="0.2">
      <c r="A419" s="347">
        <f t="shared" ca="1" si="180"/>
        <v>0.1</v>
      </c>
      <c r="B419" s="304">
        <f t="shared" ca="1" si="181"/>
        <v>5.4999999999999538</v>
      </c>
      <c r="D419" s="306">
        <f t="shared" ca="1" si="182"/>
        <v>-1.2323466744537892</v>
      </c>
      <c r="E419" s="307">
        <f t="shared" ca="1" si="183"/>
        <v>-19.203045055241368</v>
      </c>
      <c r="F419" s="304">
        <f t="shared" ca="1" si="184"/>
        <v>19.242547069441386</v>
      </c>
      <c r="G419" s="306">
        <f t="shared" ca="1" si="185"/>
        <v>19.868046039509661</v>
      </c>
      <c r="H419" s="307">
        <f t="shared" ca="1" si="186"/>
        <v>150.45483820797827</v>
      </c>
      <c r="I419" s="304">
        <f t="shared" ca="1" si="187"/>
        <v>151.7609883784927</v>
      </c>
      <c r="J419" s="306">
        <f t="shared" ca="1" si="188"/>
        <v>89.871143323436513</v>
      </c>
      <c r="K419" s="307">
        <f t="shared" ca="1" si="189"/>
        <v>776.0329842257313</v>
      </c>
      <c r="L419" s="304">
        <f t="shared" ca="1" si="174"/>
        <v>781.21956901280691</v>
      </c>
      <c r="M419" s="306">
        <f t="shared" ca="1" si="190"/>
        <v>1.4395027568325534</v>
      </c>
      <c r="N419" s="304">
        <f t="shared" ca="1" si="191"/>
        <v>82.477432563952135</v>
      </c>
      <c r="P419" s="310">
        <f t="shared" ca="1" si="192"/>
        <v>23</v>
      </c>
      <c r="Q419" s="304">
        <f t="shared" ca="1" si="193"/>
        <v>0</v>
      </c>
      <c r="R419" s="306">
        <f t="shared" ca="1" si="194"/>
        <v>0</v>
      </c>
      <c r="S419" s="307">
        <f t="shared" ca="1" si="195"/>
        <v>7.4819999999999904</v>
      </c>
      <c r="T419" s="304">
        <f t="shared" ca="1" si="175"/>
        <v>73.398419999999916</v>
      </c>
      <c r="U419" s="311">
        <f t="shared" ca="1" si="176"/>
        <v>0</v>
      </c>
      <c r="V419" s="306">
        <f t="shared" ca="1" si="177"/>
        <v>1.1334868216758902</v>
      </c>
      <c r="W419" s="304">
        <f t="shared" ca="1" si="178"/>
        <v>69.016299780902585</v>
      </c>
      <c r="Y419" s="314" t="str">
        <f t="shared" ca="1" si="196"/>
        <v/>
      </c>
      <c r="Z419" s="315" t="str">
        <f t="shared" ca="1" si="197"/>
        <v/>
      </c>
      <c r="AA419" s="316" t="str">
        <f t="shared" ca="1" si="198"/>
        <v/>
      </c>
      <c r="AC419" s="310" t="e">
        <f t="shared" ca="1" si="199"/>
        <v>#N/A</v>
      </c>
      <c r="AD419" s="323" t="e">
        <f t="shared" ca="1" si="200"/>
        <v>#N/A</v>
      </c>
      <c r="AE419" s="324">
        <f t="shared" ca="1" si="179"/>
        <v>776.0329842257313</v>
      </c>
      <c r="AG419" s="306">
        <f t="shared" ca="1" si="201"/>
        <v>-19.200186196689419</v>
      </c>
      <c r="AH419" s="304">
        <f t="shared" ca="1" si="202"/>
        <v>-9.4735407180120177</v>
      </c>
    </row>
    <row r="420" spans="1:34" x14ac:dyDescent="0.2">
      <c r="A420" s="347">
        <f t="shared" ca="1" si="180"/>
        <v>0.1</v>
      </c>
      <c r="B420" s="304">
        <f t="shared" ca="1" si="181"/>
        <v>5.5999999999999535</v>
      </c>
      <c r="D420" s="306">
        <f t="shared" ca="1" si="182"/>
        <v>-1.2076163350316587</v>
      </c>
      <c r="E420" s="307">
        <f t="shared" ca="1" si="183"/>
        <v>-18.954921445379533</v>
      </c>
      <c r="F420" s="304">
        <f t="shared" ca="1" si="184"/>
        <v>18.993351052753809</v>
      </c>
      <c r="G420" s="306">
        <f t="shared" ca="1" si="185"/>
        <v>19.747284406006496</v>
      </c>
      <c r="H420" s="307">
        <f t="shared" ca="1" si="186"/>
        <v>148.55934606344033</v>
      </c>
      <c r="I420" s="304">
        <f t="shared" ca="1" si="187"/>
        <v>149.86605534345904</v>
      </c>
      <c r="J420" s="306">
        <f t="shared" ca="1" si="188"/>
        <v>91.851909845712328</v>
      </c>
      <c r="K420" s="307">
        <f t="shared" ca="1" si="189"/>
        <v>790.98369343930221</v>
      </c>
      <c r="L420" s="304">
        <f t="shared" ca="1" si="174"/>
        <v>796.29892416678854</v>
      </c>
      <c r="M420" s="306">
        <f t="shared" ca="1" si="190"/>
        <v>1.4386457963498915</v>
      </c>
      <c r="N420" s="304">
        <f t="shared" ca="1" si="191"/>
        <v>82.428332345086119</v>
      </c>
      <c r="P420" s="310">
        <f t="shared" ca="1" si="192"/>
        <v>23</v>
      </c>
      <c r="Q420" s="304">
        <f t="shared" ca="1" si="193"/>
        <v>0</v>
      </c>
      <c r="R420" s="306">
        <f t="shared" ca="1" si="194"/>
        <v>0</v>
      </c>
      <c r="S420" s="307">
        <f t="shared" ca="1" si="195"/>
        <v>7.4819999999999904</v>
      </c>
      <c r="T420" s="304">
        <f t="shared" ca="1" si="175"/>
        <v>73.398419999999916</v>
      </c>
      <c r="U420" s="311">
        <f t="shared" ca="1" si="176"/>
        <v>0</v>
      </c>
      <c r="V420" s="306">
        <f t="shared" ca="1" si="177"/>
        <v>1.1317908436897191</v>
      </c>
      <c r="W420" s="304">
        <f t="shared" ca="1" si="178"/>
        <v>67.202840851069652</v>
      </c>
      <c r="Y420" s="314" t="str">
        <f t="shared" ca="1" si="196"/>
        <v/>
      </c>
      <c r="Z420" s="315" t="str">
        <f t="shared" ca="1" si="197"/>
        <v/>
      </c>
      <c r="AA420" s="316" t="str">
        <f t="shared" ca="1" si="198"/>
        <v/>
      </c>
      <c r="AC420" s="310" t="e">
        <f t="shared" ca="1" si="199"/>
        <v>#N/A</v>
      </c>
      <c r="AD420" s="323" t="e">
        <f t="shared" ca="1" si="200"/>
        <v>#N/A</v>
      </c>
      <c r="AE420" s="324">
        <f t="shared" ca="1" si="179"/>
        <v>790.98369343930221</v>
      </c>
      <c r="AG420" s="306">
        <f t="shared" ca="1" si="201"/>
        <v>-18.949880644422247</v>
      </c>
      <c r="AH420" s="304">
        <f t="shared" ca="1" si="202"/>
        <v>-9.2243116520853619</v>
      </c>
    </row>
    <row r="421" spans="1:34" x14ac:dyDescent="0.2">
      <c r="A421" s="347">
        <f t="shared" ca="1" si="180"/>
        <v>0.1</v>
      </c>
      <c r="B421" s="304">
        <f t="shared" ca="1" si="181"/>
        <v>5.6999999999999531</v>
      </c>
      <c r="D421" s="306">
        <f t="shared" ca="1" si="182"/>
        <v>-1.1835157264304452</v>
      </c>
      <c r="E421" s="307">
        <f t="shared" ca="1" si="183"/>
        <v>-18.713620303398514</v>
      </c>
      <c r="F421" s="304">
        <f t="shared" ca="1" si="184"/>
        <v>18.751007821833934</v>
      </c>
      <c r="G421" s="306">
        <f t="shared" ca="1" si="185"/>
        <v>19.628932833363454</v>
      </c>
      <c r="H421" s="307">
        <f t="shared" ca="1" si="186"/>
        <v>146.68798403310049</v>
      </c>
      <c r="I421" s="304">
        <f t="shared" ca="1" si="187"/>
        <v>147.99547176813161</v>
      </c>
      <c r="J421" s="306">
        <f t="shared" ca="1" si="188"/>
        <v>93.82072070768082</v>
      </c>
      <c r="K421" s="307">
        <f t="shared" ca="1" si="189"/>
        <v>805.74605994412923</v>
      </c>
      <c r="L421" s="304">
        <f t="shared" ca="1" si="174"/>
        <v>811.18989191779065</v>
      </c>
      <c r="M421" s="306">
        <f t="shared" ca="1" si="190"/>
        <v>1.4377723731169854</v>
      </c>
      <c r="N421" s="304">
        <f t="shared" ca="1" si="191"/>
        <v>82.378288880111924</v>
      </c>
      <c r="P421" s="310">
        <f t="shared" ca="1" si="192"/>
        <v>23</v>
      </c>
      <c r="Q421" s="304">
        <f t="shared" ca="1" si="193"/>
        <v>0</v>
      </c>
      <c r="R421" s="306">
        <f t="shared" ca="1" si="194"/>
        <v>0</v>
      </c>
      <c r="S421" s="307">
        <f t="shared" ca="1" si="195"/>
        <v>7.4819999999999904</v>
      </c>
      <c r="T421" s="304">
        <f t="shared" ca="1" si="175"/>
        <v>73.398419999999916</v>
      </c>
      <c r="U421" s="311">
        <f t="shared" ca="1" si="176"/>
        <v>0</v>
      </c>
      <c r="V421" s="306">
        <f t="shared" ca="1" si="177"/>
        <v>1.1301186224624904</v>
      </c>
      <c r="W421" s="304">
        <f t="shared" ca="1" si="178"/>
        <v>65.438869782181172</v>
      </c>
      <c r="Y421" s="314" t="str">
        <f t="shared" ca="1" si="196"/>
        <v/>
      </c>
      <c r="Z421" s="315" t="str">
        <f t="shared" ca="1" si="197"/>
        <v/>
      </c>
      <c r="AA421" s="316" t="str">
        <f t="shared" ca="1" si="198"/>
        <v/>
      </c>
      <c r="AC421" s="310" t="e">
        <f t="shared" ca="1" si="199"/>
        <v>#N/A</v>
      </c>
      <c r="AD421" s="323" t="e">
        <f t="shared" ca="1" si="200"/>
        <v>#N/A</v>
      </c>
      <c r="AE421" s="324">
        <f t="shared" ca="1" si="179"/>
        <v>805.74605994412923</v>
      </c>
      <c r="AG421" s="306">
        <f t="shared" ca="1" si="201"/>
        <v>-18.706400258392897</v>
      </c>
      <c r="AH421" s="304">
        <f t="shared" ca="1" si="202"/>
        <v>-8.981935425163023</v>
      </c>
    </row>
    <row r="422" spans="1:34" x14ac:dyDescent="0.2">
      <c r="A422" s="347">
        <f t="shared" ca="1" si="180"/>
        <v>0.1</v>
      </c>
      <c r="B422" s="304">
        <f t="shared" ca="1" si="181"/>
        <v>5.7999999999999527</v>
      </c>
      <c r="D422" s="306">
        <f t="shared" ca="1" si="182"/>
        <v>-1.1600223251748416</v>
      </c>
      <c r="E422" s="307">
        <f t="shared" ca="1" si="183"/>
        <v>-18.478904099771679</v>
      </c>
      <c r="F422" s="304">
        <f t="shared" ca="1" si="184"/>
        <v>18.515278786004348</v>
      </c>
      <c r="G422" s="306">
        <f t="shared" ca="1" si="185"/>
        <v>19.512930600845969</v>
      </c>
      <c r="H422" s="307">
        <f t="shared" ca="1" si="186"/>
        <v>144.84009362312332</v>
      </c>
      <c r="I422" s="304">
        <f t="shared" ca="1" si="187"/>
        <v>146.14857912887337</v>
      </c>
      <c r="J422" s="306">
        <f t="shared" ca="1" si="188"/>
        <v>95.777813879391289</v>
      </c>
      <c r="K422" s="307">
        <f t="shared" ca="1" si="189"/>
        <v>820.32246382694041</v>
      </c>
      <c r="L422" s="304">
        <f t="shared" ca="1" si="174"/>
        <v>825.89486878816319</v>
      </c>
      <c r="M422" s="306">
        <f t="shared" ca="1" si="190"/>
        <v>1.4368821010878403</v>
      </c>
      <c r="N422" s="304">
        <f t="shared" ca="1" si="191"/>
        <v>82.327280050223365</v>
      </c>
      <c r="P422" s="310">
        <f t="shared" ca="1" si="192"/>
        <v>23</v>
      </c>
      <c r="Q422" s="304">
        <f t="shared" ca="1" si="193"/>
        <v>0</v>
      </c>
      <c r="R422" s="306">
        <f t="shared" ca="1" si="194"/>
        <v>0</v>
      </c>
      <c r="S422" s="307">
        <f t="shared" ca="1" si="195"/>
        <v>7.4819999999999904</v>
      </c>
      <c r="T422" s="304">
        <f t="shared" ca="1" si="175"/>
        <v>73.398419999999916</v>
      </c>
      <c r="U422" s="311">
        <f t="shared" ca="1" si="176"/>
        <v>0</v>
      </c>
      <c r="V422" s="306">
        <f t="shared" ca="1" si="177"/>
        <v>1.128469793041496</v>
      </c>
      <c r="W422" s="304">
        <f t="shared" ca="1" si="178"/>
        <v>63.722680597888143</v>
      </c>
      <c r="Y422" s="314" t="str">
        <f t="shared" ca="1" si="196"/>
        <v/>
      </c>
      <c r="Z422" s="315" t="str">
        <f t="shared" ca="1" si="197"/>
        <v/>
      </c>
      <c r="AA422" s="316" t="str">
        <f t="shared" ca="1" si="198"/>
        <v/>
      </c>
      <c r="AC422" s="310" t="e">
        <f t="shared" ca="1" si="199"/>
        <v>#N/A</v>
      </c>
      <c r="AD422" s="323" t="e">
        <f t="shared" ca="1" si="200"/>
        <v>#N/A</v>
      </c>
      <c r="AE422" s="324">
        <f t="shared" ca="1" si="179"/>
        <v>820.32246382694041</v>
      </c>
      <c r="AG422" s="306">
        <f t="shared" ca="1" si="201"/>
        <v>-18.469505567880191</v>
      </c>
      <c r="AH422" s="304">
        <f t="shared" ca="1" si="202"/>
        <v>-8.7461734539135598</v>
      </c>
    </row>
    <row r="423" spans="1:34" x14ac:dyDescent="0.2">
      <c r="A423" s="347">
        <f t="shared" ca="1" si="180"/>
        <v>0.1</v>
      </c>
      <c r="B423" s="304">
        <f t="shared" ca="1" si="181"/>
        <v>5.8999999999999524</v>
      </c>
      <c r="D423" s="306">
        <f t="shared" ca="1" si="182"/>
        <v>-1.1371145993387903</v>
      </c>
      <c r="E423" s="307">
        <f t="shared" ca="1" si="183"/>
        <v>-18.250545830738023</v>
      </c>
      <c r="F423" s="304">
        <f t="shared" ca="1" si="184"/>
        <v>18.285935927151733</v>
      </c>
      <c r="G423" s="306">
        <f t="shared" ca="1" si="185"/>
        <v>19.399219140912091</v>
      </c>
      <c r="H423" s="307">
        <f t="shared" ca="1" si="186"/>
        <v>143.01503904004952</v>
      </c>
      <c r="I423" s="304">
        <f t="shared" ca="1" si="187"/>
        <v>144.3247417974618</v>
      </c>
      <c r="J423" s="306">
        <f t="shared" ca="1" si="188"/>
        <v>97.723421366479187</v>
      </c>
      <c r="K423" s="307">
        <f t="shared" ca="1" si="189"/>
        <v>834.71522046009909</v>
      </c>
      <c r="L423" s="304">
        <f t="shared" ca="1" si="174"/>
        <v>840.41618639298133</v>
      </c>
      <c r="M423" s="306">
        <f t="shared" ca="1" si="190"/>
        <v>1.4359745811391318</v>
      </c>
      <c r="N423" s="304">
        <f t="shared" ca="1" si="191"/>
        <v>82.275282987338443</v>
      </c>
      <c r="P423" s="310">
        <f t="shared" ca="1" si="192"/>
        <v>23</v>
      </c>
      <c r="Q423" s="304">
        <f t="shared" ca="1" si="193"/>
        <v>0</v>
      </c>
      <c r="R423" s="306">
        <f t="shared" ca="1" si="194"/>
        <v>0</v>
      </c>
      <c r="S423" s="307">
        <f t="shared" ca="1" si="195"/>
        <v>7.4819999999999904</v>
      </c>
      <c r="T423" s="304">
        <f t="shared" ca="1" si="175"/>
        <v>73.398419999999916</v>
      </c>
      <c r="U423" s="311">
        <f t="shared" ca="1" si="176"/>
        <v>0</v>
      </c>
      <c r="V423" s="306">
        <f t="shared" ca="1" si="177"/>
        <v>1.126844000818453</v>
      </c>
      <c r="W423" s="304">
        <f t="shared" ca="1" si="178"/>
        <v>62.05264225462146</v>
      </c>
      <c r="Y423" s="314" t="str">
        <f t="shared" ca="1" si="196"/>
        <v/>
      </c>
      <c r="Z423" s="315" t="str">
        <f t="shared" ca="1" si="197"/>
        <v/>
      </c>
      <c r="AA423" s="316" t="str">
        <f t="shared" ca="1" si="198"/>
        <v/>
      </c>
      <c r="AC423" s="310" t="e">
        <f t="shared" ca="1" si="199"/>
        <v>#N/A</v>
      </c>
      <c r="AD423" s="323" t="e">
        <f t="shared" ca="1" si="200"/>
        <v>#N/A</v>
      </c>
      <c r="AE423" s="324">
        <f t="shared" ca="1" si="179"/>
        <v>834.71522046009909</v>
      </c>
      <c r="AG423" s="306">
        <f t="shared" ca="1" si="201"/>
        <v>-18.238967637918584</v>
      </c>
      <c r="AH423" s="304">
        <f t="shared" ca="1" si="202"/>
        <v>-8.5167977275979982</v>
      </c>
    </row>
    <row r="424" spans="1:34" x14ac:dyDescent="0.2">
      <c r="A424" s="347">
        <f t="shared" ca="1" si="180"/>
        <v>0.1</v>
      </c>
      <c r="B424" s="304">
        <f t="shared" ca="1" si="181"/>
        <v>5.999999999999952</v>
      </c>
      <c r="D424" s="306">
        <f t="shared" ca="1" si="182"/>
        <v>-1.1147719561567078</v>
      </c>
      <c r="E424" s="307">
        <f t="shared" ca="1" si="183"/>
        <v>-18.02832846324597</v>
      </c>
      <c r="F424" s="304">
        <f t="shared" ca="1" si="184"/>
        <v>18.062761242205418</v>
      </c>
      <c r="G424" s="306">
        <f t="shared" ca="1" si="185"/>
        <v>19.287741945296421</v>
      </c>
      <c r="H424" s="307">
        <f t="shared" ca="1" si="186"/>
        <v>141.21220619372491</v>
      </c>
      <c r="I424" s="304">
        <f t="shared" ca="1" si="187"/>
        <v>142.52334604354274</v>
      </c>
      <c r="J424" s="306">
        <f t="shared" ca="1" si="188"/>
        <v>99.657769420789606</v>
      </c>
      <c r="K424" s="307">
        <f t="shared" ca="1" si="189"/>
        <v>848.92658272178778</v>
      </c>
      <c r="L424" s="304">
        <f t="shared" ca="1" si="174"/>
        <v>854.75611367080592</v>
      </c>
      <c r="M424" s="306">
        <f t="shared" ca="1" si="190"/>
        <v>1.4350494005352314</v>
      </c>
      <c r="N424" s="304">
        <f t="shared" ca="1" si="191"/>
        <v>82.222274043447584</v>
      </c>
      <c r="P424" s="310">
        <f t="shared" ca="1" si="192"/>
        <v>23</v>
      </c>
      <c r="Q424" s="304">
        <f t="shared" ca="1" si="193"/>
        <v>0</v>
      </c>
      <c r="R424" s="306">
        <f t="shared" ca="1" si="194"/>
        <v>0</v>
      </c>
      <c r="S424" s="307">
        <f t="shared" ca="1" si="195"/>
        <v>7.4819999999999904</v>
      </c>
      <c r="T424" s="304">
        <f t="shared" ca="1" si="175"/>
        <v>73.398419999999916</v>
      </c>
      <c r="U424" s="311">
        <f t="shared" ca="1" si="176"/>
        <v>0</v>
      </c>
      <c r="V424" s="306">
        <f t="shared" ca="1" si="177"/>
        <v>1.1252409011602524</v>
      </c>
      <c r="W424" s="304">
        <f t="shared" ca="1" si="178"/>
        <v>60.427194726154191</v>
      </c>
      <c r="Y424" s="314" t="str">
        <f t="shared" ca="1" si="196"/>
        <v/>
      </c>
      <c r="Z424" s="315" t="str">
        <f t="shared" ca="1" si="197"/>
        <v/>
      </c>
      <c r="AA424" s="316" t="str">
        <f t="shared" ca="1" si="198"/>
        <v/>
      </c>
      <c r="AC424" s="310">
        <f t="shared" ca="1" si="199"/>
        <v>5.999999999999952</v>
      </c>
      <c r="AD424" s="323">
        <f t="shared" ca="1" si="200"/>
        <v>99.657769420789606</v>
      </c>
      <c r="AE424" s="324">
        <f t="shared" ca="1" si="179"/>
        <v>848.92658272178778</v>
      </c>
      <c r="AG424" s="306">
        <f t="shared" ca="1" si="201"/>
        <v>-18.014567509957672</v>
      </c>
      <c r="AH424" s="304">
        <f t="shared" ca="1" si="202"/>
        <v>-8.2935902505508601</v>
      </c>
    </row>
    <row r="425" spans="1:34" x14ac:dyDescent="0.2">
      <c r="A425" s="347">
        <f t="shared" ca="1" si="180"/>
        <v>0.1</v>
      </c>
      <c r="B425" s="304">
        <f t="shared" ca="1" si="181"/>
        <v>6.0999999999999517</v>
      </c>
      <c r="D425" s="306">
        <f t="shared" ca="1" si="182"/>
        <v>-1.0929746928486983</v>
      </c>
      <c r="E425" s="307">
        <f t="shared" ca="1" si="183"/>
        <v>-17.812044413950264</v>
      </c>
      <c r="F425" s="304">
        <f t="shared" ca="1" si="184"/>
        <v>17.845546219820353</v>
      </c>
      <c r="G425" s="306">
        <f t="shared" ca="1" si="185"/>
        <v>19.178444476011553</v>
      </c>
      <c r="H425" s="307">
        <f t="shared" ca="1" si="186"/>
        <v>139.43100175232988</v>
      </c>
      <c r="I425" s="304">
        <f t="shared" ca="1" si="187"/>
        <v>140.74379908961416</v>
      </c>
      <c r="J425" s="306">
        <f t="shared" ca="1" si="188"/>
        <v>101.58107874185501</v>
      </c>
      <c r="K425" s="307">
        <f t="shared" ca="1" si="189"/>
        <v>862.95874311909051</v>
      </c>
      <c r="L425" s="304">
        <f t="shared" ca="1" si="174"/>
        <v>868.91685901704045</v>
      </c>
      <c r="M425" s="306">
        <f t="shared" ca="1" si="190"/>
        <v>1.4341061323664255</v>
      </c>
      <c r="N425" s="304">
        <f t="shared" ca="1" si="191"/>
        <v>82.168228758425968</v>
      </c>
      <c r="P425" s="310">
        <f t="shared" ca="1" si="192"/>
        <v>23</v>
      </c>
      <c r="Q425" s="304">
        <f t="shared" ca="1" si="193"/>
        <v>0</v>
      </c>
      <c r="R425" s="306">
        <f t="shared" ca="1" si="194"/>
        <v>0</v>
      </c>
      <c r="S425" s="307">
        <f t="shared" ca="1" si="195"/>
        <v>7.4819999999999904</v>
      </c>
      <c r="T425" s="304">
        <f t="shared" ca="1" si="175"/>
        <v>73.398419999999916</v>
      </c>
      <c r="U425" s="311">
        <f t="shared" ca="1" si="176"/>
        <v>0</v>
      </c>
      <c r="V425" s="306">
        <f t="shared" ca="1" si="177"/>
        <v>1.1236601590563426</v>
      </c>
      <c r="W425" s="304">
        <f t="shared" ca="1" si="178"/>
        <v>58.844845326247999</v>
      </c>
      <c r="Y425" s="314" t="str">
        <f t="shared" ca="1" si="196"/>
        <v/>
      </c>
      <c r="Z425" s="315" t="str">
        <f t="shared" ca="1" si="197"/>
        <v/>
      </c>
      <c r="AA425" s="316" t="str">
        <f t="shared" ca="1" si="198"/>
        <v/>
      </c>
      <c r="AC425" s="310" t="e">
        <f t="shared" ca="1" si="199"/>
        <v>#N/A</v>
      </c>
      <c r="AD425" s="323" t="e">
        <f t="shared" ca="1" si="200"/>
        <v>#N/A</v>
      </c>
      <c r="AE425" s="324">
        <f t="shared" ca="1" si="179"/>
        <v>862.95874311909051</v>
      </c>
      <c r="AG425" s="306">
        <f t="shared" ca="1" si="201"/>
        <v>-17.796095676620205</v>
      </c>
      <c r="AH425" s="304">
        <f t="shared" ca="1" si="202"/>
        <v>-8.0763425188658466</v>
      </c>
    </row>
    <row r="426" spans="1:34" x14ac:dyDescent="0.2">
      <c r="A426" s="347">
        <f t="shared" ca="1" si="180"/>
        <v>0.1</v>
      </c>
      <c r="B426" s="304">
        <f t="shared" ca="1" si="181"/>
        <v>6.1999999999999513</v>
      </c>
      <c r="D426" s="306">
        <f t="shared" ca="1" si="182"/>
        <v>-1.0717039504358263</v>
      </c>
      <c r="E426" s="307">
        <f t="shared" ca="1" si="183"/>
        <v>-17.601495059888848</v>
      </c>
      <c r="F426" s="304">
        <f t="shared" ca="1" si="184"/>
        <v>17.634091348880759</v>
      </c>
      <c r="G426" s="306">
        <f t="shared" ca="1" si="185"/>
        <v>19.071274080967971</v>
      </c>
      <c r="H426" s="307">
        <f t="shared" ca="1" si="186"/>
        <v>137.67085224634098</v>
      </c>
      <c r="I426" s="304">
        <f t="shared" ca="1" si="187"/>
        <v>138.98552821536941</v>
      </c>
      <c r="J426" s="306">
        <f t="shared" ca="1" si="188"/>
        <v>103.49356466970399</v>
      </c>
      <c r="K426" s="307">
        <f t="shared" ca="1" si="189"/>
        <v>876.81383581902401</v>
      </c>
      <c r="L426" s="304">
        <f t="shared" ca="1" si="174"/>
        <v>882.90057232494337</v>
      </c>
      <c r="M426" s="306">
        <f t="shared" ca="1" si="190"/>
        <v>1.4331443349587698</v>
      </c>
      <c r="N426" s="304">
        <f t="shared" ca="1" si="191"/>
        <v>82.113121826220677</v>
      </c>
      <c r="P426" s="310">
        <f t="shared" ca="1" si="192"/>
        <v>23</v>
      </c>
      <c r="Q426" s="304">
        <f t="shared" ca="1" si="193"/>
        <v>0</v>
      </c>
      <c r="R426" s="306">
        <f t="shared" ca="1" si="194"/>
        <v>0</v>
      </c>
      <c r="S426" s="307">
        <f t="shared" ca="1" si="195"/>
        <v>7.4819999999999904</v>
      </c>
      <c r="T426" s="304">
        <f t="shared" ca="1" si="175"/>
        <v>73.398419999999916</v>
      </c>
      <c r="U426" s="311">
        <f t="shared" ca="1" si="176"/>
        <v>0</v>
      </c>
      <c r="V426" s="306">
        <f t="shared" ca="1" si="177"/>
        <v>1.1221014487818597</v>
      </c>
      <c r="W426" s="304">
        <f t="shared" ca="1" si="178"/>
        <v>57.304165252938532</v>
      </c>
      <c r="Y426" s="314" t="str">
        <f t="shared" ca="1" si="196"/>
        <v/>
      </c>
      <c r="Z426" s="315" t="str">
        <f t="shared" ca="1" si="197"/>
        <v/>
      </c>
      <c r="AA426" s="316" t="str">
        <f t="shared" ca="1" si="198"/>
        <v/>
      </c>
      <c r="AC426" s="310" t="e">
        <f t="shared" ca="1" si="199"/>
        <v>#N/A</v>
      </c>
      <c r="AD426" s="323" t="e">
        <f t="shared" ca="1" si="200"/>
        <v>#N/A</v>
      </c>
      <c r="AE426" s="324">
        <f t="shared" ca="1" si="179"/>
        <v>876.81383581902401</v>
      </c>
      <c r="AG426" s="306">
        <f t="shared" ca="1" si="201"/>
        <v>-17.583351588167844</v>
      </c>
      <c r="AH426" s="304">
        <f t="shared" ca="1" si="202"/>
        <v>-7.8648550289024426</v>
      </c>
    </row>
    <row r="427" spans="1:34" x14ac:dyDescent="0.2">
      <c r="A427" s="347">
        <f t="shared" ca="1" si="180"/>
        <v>0.1</v>
      </c>
      <c r="B427" s="304">
        <f t="shared" ca="1" si="181"/>
        <v>6.299999999999951</v>
      </c>
      <c r="D427" s="306">
        <f t="shared" ca="1" si="182"/>
        <v>-1.0509416703389711</v>
      </c>
      <c r="E427" s="307">
        <f t="shared" ca="1" si="183"/>
        <v>-17.39649027865137</v>
      </c>
      <c r="F427" s="304">
        <f t="shared" ca="1" si="184"/>
        <v>17.42820565662646</v>
      </c>
      <c r="G427" s="306">
        <f t="shared" ca="1" si="185"/>
        <v>18.966179913934074</v>
      </c>
      <c r="H427" s="307">
        <f t="shared" ca="1" si="186"/>
        <v>135.93120321847584</v>
      </c>
      <c r="I427" s="304">
        <f t="shared" ca="1" si="187"/>
        <v>137.24797990844999</v>
      </c>
      <c r="J427" s="306">
        <f t="shared" ca="1" si="188"/>
        <v>105.39543736944908</v>
      </c>
      <c r="K427" s="307">
        <f t="shared" ca="1" si="189"/>
        <v>890.49393859226484</v>
      </c>
      <c r="L427" s="304">
        <f t="shared" ca="1" si="174"/>
        <v>896.70934693905235</v>
      </c>
      <c r="M427" s="306">
        <f t="shared" ca="1" si="190"/>
        <v>1.4321635512539208</v>
      </c>
      <c r="N427" s="304">
        <f t="shared" ca="1" si="191"/>
        <v>82.056927059317616</v>
      </c>
      <c r="P427" s="310">
        <f t="shared" ca="1" si="192"/>
        <v>23</v>
      </c>
      <c r="Q427" s="304">
        <f t="shared" ca="1" si="193"/>
        <v>0</v>
      </c>
      <c r="R427" s="306">
        <f t="shared" ca="1" si="194"/>
        <v>0</v>
      </c>
      <c r="S427" s="307">
        <f t="shared" ca="1" si="195"/>
        <v>7.4819999999999904</v>
      </c>
      <c r="T427" s="304">
        <f t="shared" ca="1" si="175"/>
        <v>73.398419999999916</v>
      </c>
      <c r="U427" s="311">
        <f t="shared" ca="1" si="176"/>
        <v>0</v>
      </c>
      <c r="V427" s="306">
        <f t="shared" ca="1" si="177"/>
        <v>1.1205644535756694</v>
      </c>
      <c r="W427" s="304">
        <f t="shared" ca="1" si="178"/>
        <v>55.803786339283938</v>
      </c>
      <c r="Y427" s="314" t="str">
        <f t="shared" ca="1" si="196"/>
        <v/>
      </c>
      <c r="Z427" s="315" t="str">
        <f t="shared" ca="1" si="197"/>
        <v/>
      </c>
      <c r="AA427" s="316" t="str">
        <f t="shared" ca="1" si="198"/>
        <v/>
      </c>
      <c r="AC427" s="310" t="e">
        <f t="shared" ca="1" si="199"/>
        <v>#N/A</v>
      </c>
      <c r="AD427" s="323" t="e">
        <f t="shared" ca="1" si="200"/>
        <v>#N/A</v>
      </c>
      <c r="AE427" s="324">
        <f t="shared" ca="1" si="179"/>
        <v>890.49393859226484</v>
      </c>
      <c r="AG427" s="306">
        <f t="shared" ca="1" si="201"/>
        <v>-17.376143188469054</v>
      </c>
      <c r="AH427" s="304">
        <f t="shared" ca="1" si="202"/>
        <v>-7.658936815415478</v>
      </c>
    </row>
    <row r="428" spans="1:34" x14ac:dyDescent="0.2">
      <c r="A428" s="347">
        <f t="shared" ca="1" si="180"/>
        <v>0.1</v>
      </c>
      <c r="B428" s="304">
        <f t="shared" ca="1" si="181"/>
        <v>6.3999999999999506</v>
      </c>
      <c r="D428" s="306">
        <f t="shared" ca="1" si="182"/>
        <v>-1.0306705535707446</v>
      </c>
      <c r="E428" s="307">
        <f t="shared" ca="1" si="183"/>
        <v>-17.196848016020081</v>
      </c>
      <c r="F428" s="304">
        <f t="shared" ca="1" si="184"/>
        <v>17.227706274373602</v>
      </c>
      <c r="G428" s="306">
        <f t="shared" ca="1" si="185"/>
        <v>18.863112858577001</v>
      </c>
      <c r="H428" s="307">
        <f t="shared" ca="1" si="186"/>
        <v>134.21151841687384</v>
      </c>
      <c r="I428" s="304">
        <f t="shared" ca="1" si="187"/>
        <v>135.53061905886167</v>
      </c>
      <c r="J428" s="306">
        <f t="shared" ca="1" si="188"/>
        <v>107.28690200807463</v>
      </c>
      <c r="K428" s="307">
        <f t="shared" ca="1" si="189"/>
        <v>904.00107467403234</v>
      </c>
      <c r="L428" s="304">
        <f t="shared" ca="1" si="174"/>
        <v>910.34522152549118</v>
      </c>
      <c r="M428" s="306">
        <f t="shared" ca="1" si="190"/>
        <v>1.4311633081571706</v>
      </c>
      <c r="N428" s="304">
        <f t="shared" ca="1" si="191"/>
        <v>81.999617351386746</v>
      </c>
      <c r="P428" s="310">
        <f t="shared" ca="1" si="192"/>
        <v>23</v>
      </c>
      <c r="Q428" s="304">
        <f t="shared" ca="1" si="193"/>
        <v>0</v>
      </c>
      <c r="R428" s="306">
        <f t="shared" ca="1" si="194"/>
        <v>0</v>
      </c>
      <c r="S428" s="307">
        <f t="shared" ca="1" si="195"/>
        <v>7.4819999999999904</v>
      </c>
      <c r="T428" s="304">
        <f t="shared" ca="1" si="175"/>
        <v>73.398419999999916</v>
      </c>
      <c r="U428" s="311">
        <f t="shared" ca="1" si="176"/>
        <v>0</v>
      </c>
      <c r="V428" s="306">
        <f t="shared" ca="1" si="177"/>
        <v>1.1190488653325465</v>
      </c>
      <c r="W428" s="304">
        <f t="shared" ca="1" si="178"/>
        <v>54.342397996564635</v>
      </c>
      <c r="Y428" s="314" t="str">
        <f t="shared" ca="1" si="196"/>
        <v/>
      </c>
      <c r="Z428" s="315" t="str">
        <f t="shared" ca="1" si="197"/>
        <v/>
      </c>
      <c r="AA428" s="316" t="str">
        <f t="shared" ca="1" si="198"/>
        <v/>
      </c>
      <c r="AC428" s="310" t="e">
        <f t="shared" ca="1" si="199"/>
        <v>#N/A</v>
      </c>
      <c r="AD428" s="323" t="e">
        <f t="shared" ca="1" si="200"/>
        <v>#N/A</v>
      </c>
      <c r="AE428" s="324">
        <f t="shared" ca="1" si="179"/>
        <v>904.00107467403234</v>
      </c>
      <c r="AG428" s="306">
        <f t="shared" ca="1" si="201"/>
        <v>-17.174286478432627</v>
      </c>
      <c r="AH428" s="304">
        <f t="shared" ca="1" si="202"/>
        <v>-7.4584050172793388</v>
      </c>
    </row>
    <row r="429" spans="1:34" x14ac:dyDescent="0.2">
      <c r="A429" s="347">
        <f t="shared" ca="1" si="180"/>
        <v>0.1</v>
      </c>
      <c r="B429" s="304">
        <f t="shared" ca="1" si="181"/>
        <v>6.4999999999999503</v>
      </c>
      <c r="D429" s="306">
        <f t="shared" ca="1" si="182"/>
        <v>-1.0108740223445694</v>
      </c>
      <c r="E429" s="307">
        <f t="shared" ca="1" si="183"/>
        <v>-17.002393879218531</v>
      </c>
      <c r="F429" s="304">
        <f t="shared" ca="1" si="184"/>
        <v>17.032418028956982</v>
      </c>
      <c r="G429" s="306">
        <f t="shared" ca="1" si="185"/>
        <v>18.762025456342545</v>
      </c>
      <c r="H429" s="307">
        <f t="shared" ca="1" si="186"/>
        <v>132.511279028952</v>
      </c>
      <c r="I429" s="304">
        <f t="shared" ca="1" si="187"/>
        <v>133.83292819449636</v>
      </c>
      <c r="J429" s="306">
        <f t="shared" ca="1" si="188"/>
        <v>109.16815892382061</v>
      </c>
      <c r="K429" s="307">
        <f t="shared" ca="1" si="189"/>
        <v>917.33721454632359</v>
      </c>
      <c r="L429" s="304">
        <f t="shared" ca="1" si="174"/>
        <v>923.81018186336541</v>
      </c>
      <c r="M429" s="306">
        <f t="shared" ca="1" si="190"/>
        <v>1.430143115851791</v>
      </c>
      <c r="N429" s="304">
        <f t="shared" ca="1" si="191"/>
        <v>81.941164637996764</v>
      </c>
      <c r="P429" s="310">
        <f t="shared" ca="1" si="192"/>
        <v>23</v>
      </c>
      <c r="Q429" s="304">
        <f t="shared" ca="1" si="193"/>
        <v>0</v>
      </c>
      <c r="R429" s="306">
        <f t="shared" ca="1" si="194"/>
        <v>0</v>
      </c>
      <c r="S429" s="307">
        <f t="shared" ca="1" si="195"/>
        <v>7.4819999999999904</v>
      </c>
      <c r="T429" s="304">
        <f t="shared" ca="1" si="175"/>
        <v>73.398419999999916</v>
      </c>
      <c r="U429" s="311">
        <f t="shared" ca="1" si="176"/>
        <v>0</v>
      </c>
      <c r="V429" s="306">
        <f t="shared" ca="1" si="177"/>
        <v>1.1175543843087472</v>
      </c>
      <c r="W429" s="304">
        <f t="shared" ca="1" si="178"/>
        <v>52.918744336984645</v>
      </c>
      <c r="Y429" s="314" t="str">
        <f t="shared" ca="1" si="196"/>
        <v/>
      </c>
      <c r="Z429" s="315" t="str">
        <f t="shared" ca="1" si="197"/>
        <v/>
      </c>
      <c r="AA429" s="316" t="str">
        <f t="shared" ca="1" si="198"/>
        <v/>
      </c>
      <c r="AC429" s="310" t="e">
        <f t="shared" ca="1" si="199"/>
        <v>#N/A</v>
      </c>
      <c r="AD429" s="323" t="e">
        <f t="shared" ca="1" si="200"/>
        <v>#N/A</v>
      </c>
      <c r="AE429" s="324">
        <f t="shared" ca="1" si="179"/>
        <v>917.33721454632359</v>
      </c>
      <c r="AG429" s="306">
        <f t="shared" ca="1" si="201"/>
        <v>-16.977605105025312</v>
      </c>
      <c r="AH429" s="304">
        <f t="shared" ca="1" si="202"/>
        <v>-7.2630844689340694</v>
      </c>
    </row>
    <row r="430" spans="1:34" x14ac:dyDescent="0.2">
      <c r="A430" s="347">
        <f t="shared" ca="1" si="180"/>
        <v>0.1</v>
      </c>
      <c r="B430" s="304">
        <f t="shared" ca="1" si="181"/>
        <v>6.5999999999999499</v>
      </c>
      <c r="D430" s="306">
        <f t="shared" ca="1" si="182"/>
        <v>-0.99153618393837528</v>
      </c>
      <c r="E430" s="307">
        <f t="shared" ca="1" si="183"/>
        <v>-16.812960754045012</v>
      </c>
      <c r="F430" s="304">
        <f t="shared" ca="1" si="184"/>
        <v>16.842173058163155</v>
      </c>
      <c r="G430" s="306">
        <f t="shared" ca="1" si="185"/>
        <v>18.662871837948707</v>
      </c>
      <c r="H430" s="307">
        <f t="shared" ca="1" si="186"/>
        <v>130.8299829535475</v>
      </c>
      <c r="I430" s="304">
        <f t="shared" ca="1" si="187"/>
        <v>132.15440675537548</v>
      </c>
      <c r="J430" s="306">
        <f t="shared" ca="1" si="188"/>
        <v>111.03940378853518</v>
      </c>
      <c r="K430" s="307">
        <f t="shared" ca="1" si="189"/>
        <v>930.50427764544861</v>
      </c>
      <c r="L430" s="304">
        <f t="shared" ca="1" si="174"/>
        <v>937.10616256120704</v>
      </c>
      <c r="M430" s="306">
        <f t="shared" ca="1" si="190"/>
        <v>1.4291024670776704</v>
      </c>
      <c r="N430" s="304">
        <f t="shared" ca="1" si="191"/>
        <v>81.881539855284188</v>
      </c>
      <c r="P430" s="310">
        <f t="shared" ca="1" si="192"/>
        <v>23</v>
      </c>
      <c r="Q430" s="304">
        <f t="shared" ca="1" si="193"/>
        <v>0</v>
      </c>
      <c r="R430" s="306">
        <f t="shared" ca="1" si="194"/>
        <v>0</v>
      </c>
      <c r="S430" s="307">
        <f t="shared" ca="1" si="195"/>
        <v>7.4819999999999904</v>
      </c>
      <c r="T430" s="304">
        <f t="shared" ca="1" si="175"/>
        <v>73.398419999999916</v>
      </c>
      <c r="U430" s="311">
        <f t="shared" ca="1" si="176"/>
        <v>0</v>
      </c>
      <c r="V430" s="306">
        <f t="shared" ca="1" si="177"/>
        <v>1.1160807188402913</v>
      </c>
      <c r="W430" s="304">
        <f t="shared" ca="1" si="178"/>
        <v>51.531621463900528</v>
      </c>
      <c r="Y430" s="314" t="str">
        <f t="shared" ca="1" si="196"/>
        <v/>
      </c>
      <c r="Z430" s="315" t="str">
        <f t="shared" ca="1" si="197"/>
        <v/>
      </c>
      <c r="AA430" s="316" t="str">
        <f t="shared" ca="1" si="198"/>
        <v>Satellite</v>
      </c>
      <c r="AC430" s="310" t="e">
        <f t="shared" ca="1" si="199"/>
        <v>#N/A</v>
      </c>
      <c r="AD430" s="323" t="e">
        <f t="shared" ca="1" si="200"/>
        <v>#N/A</v>
      </c>
      <c r="AE430" s="324">
        <f t="shared" ca="1" si="179"/>
        <v>930.50427764544861</v>
      </c>
      <c r="AG430" s="306">
        <f t="shared" ca="1" si="201"/>
        <v>-16.785929974133211</v>
      </c>
      <c r="AH430" s="304">
        <f t="shared" ca="1" si="202"/>
        <v>-7.0728073158226028</v>
      </c>
    </row>
    <row r="431" spans="1:34" x14ac:dyDescent="0.2">
      <c r="A431" s="347">
        <f t="shared" ca="1" si="180"/>
        <v>0.1</v>
      </c>
      <c r="B431" s="304">
        <f t="shared" ca="1" si="181"/>
        <v>6.6999999999999496</v>
      </c>
      <c r="D431" s="306">
        <f t="shared" ca="1" si="182"/>
        <v>-0.97264179666257211</v>
      </c>
      <c r="E431" s="307">
        <f t="shared" ca="1" si="183"/>
        <v>-16.628388444297357</v>
      </c>
      <c r="F431" s="304">
        <f t="shared" ca="1" si="184"/>
        <v>16.656810448553976</v>
      </c>
      <c r="G431" s="306">
        <f t="shared" ca="1" si="185"/>
        <v>18.565607658282449</v>
      </c>
      <c r="H431" s="307">
        <f t="shared" ca="1" si="186"/>
        <v>129.16714410911777</v>
      </c>
      <c r="I431" s="304">
        <f t="shared" ca="1" si="187"/>
        <v>130.49457040439219</v>
      </c>
      <c r="J431" s="306">
        <f t="shared" ca="1" si="188"/>
        <v>112.90082776334674</v>
      </c>
      <c r="K431" s="307">
        <f t="shared" ca="1" si="189"/>
        <v>943.50413399858189</v>
      </c>
      <c r="L431" s="304">
        <f t="shared" ca="1" si="174"/>
        <v>950.23504870219494</v>
      </c>
      <c r="M431" s="306">
        <f t="shared" ca="1" si="190"/>
        <v>1.4280408363720754</v>
      </c>
      <c r="N431" s="304">
        <f t="shared" ca="1" si="191"/>
        <v>81.820712896452108</v>
      </c>
      <c r="P431" s="310">
        <f t="shared" ca="1" si="192"/>
        <v>23</v>
      </c>
      <c r="Q431" s="304">
        <f t="shared" ca="1" si="193"/>
        <v>0</v>
      </c>
      <c r="R431" s="306">
        <f t="shared" ca="1" si="194"/>
        <v>0</v>
      </c>
      <c r="S431" s="307">
        <f t="shared" ca="1" si="195"/>
        <v>7.4819999999999904</v>
      </c>
      <c r="T431" s="304">
        <f t="shared" ca="1" si="175"/>
        <v>73.398419999999916</v>
      </c>
      <c r="U431" s="311">
        <f t="shared" ca="1" si="176"/>
        <v>0</v>
      </c>
      <c r="V431" s="306">
        <f t="shared" ca="1" si="177"/>
        <v>1.1146275850733105</v>
      </c>
      <c r="W431" s="304">
        <f t="shared" ca="1" si="178"/>
        <v>50.179874918497639</v>
      </c>
      <c r="Y431" s="314" t="str">
        <f t="shared" ca="1" si="196"/>
        <v/>
      </c>
      <c r="Z431" s="315" t="str">
        <f t="shared" ca="1" si="197"/>
        <v/>
      </c>
      <c r="AA431" s="316" t="str">
        <f t="shared" ca="1" si="198"/>
        <v/>
      </c>
      <c r="AC431" s="310" t="e">
        <f t="shared" ca="1" si="199"/>
        <v>#N/A</v>
      </c>
      <c r="AD431" s="323" t="e">
        <f t="shared" ca="1" si="200"/>
        <v>#N/A</v>
      </c>
      <c r="AE431" s="324">
        <f t="shared" ca="1" si="179"/>
        <v>943.50413399858189</v>
      </c>
      <c r="AG431" s="306">
        <f t="shared" ca="1" si="201"/>
        <v>-16.599098885656399</v>
      </c>
      <c r="AH431" s="304">
        <f t="shared" ca="1" si="202"/>
        <v>-6.8874126522187371</v>
      </c>
    </row>
    <row r="432" spans="1:34" x14ac:dyDescent="0.2">
      <c r="A432" s="347">
        <f t="shared" ca="1" si="180"/>
        <v>0.1</v>
      </c>
      <c r="B432" s="304">
        <f t="shared" ca="1" si="181"/>
        <v>6.7999999999999492</v>
      </c>
      <c r="D432" s="306">
        <f t="shared" ca="1" si="182"/>
        <v>-0.95417623779328287</v>
      </c>
      <c r="E432" s="307">
        <f t="shared" ca="1" si="183"/>
        <v>-16.448523332014808</v>
      </c>
      <c r="F432" s="304">
        <f t="shared" ca="1" si="184"/>
        <v>16.476175894199628</v>
      </c>
      <c r="G432" s="306">
        <f t="shared" ca="1" si="185"/>
        <v>18.470190034503119</v>
      </c>
      <c r="H432" s="307">
        <f t="shared" ca="1" si="186"/>
        <v>127.52229177591629</v>
      </c>
      <c r="I432" s="304">
        <f t="shared" ca="1" si="187"/>
        <v>128.8529503724792</v>
      </c>
      <c r="J432" s="306">
        <f t="shared" ca="1" si="188"/>
        <v>114.75261764798601</v>
      </c>
      <c r="K432" s="307">
        <f t="shared" ca="1" si="189"/>
        <v>956.33860579283362</v>
      </c>
      <c r="L432" s="304">
        <f t="shared" ca="1" si="174"/>
        <v>963.19867742166548</v>
      </c>
      <c r="M432" s="306">
        <f t="shared" ca="1" si="190"/>
        <v>1.4269576792702288</v>
      </c>
      <c r="N432" s="304">
        <f t="shared" ca="1" si="191"/>
        <v>81.758652565966671</v>
      </c>
      <c r="P432" s="310">
        <f t="shared" ca="1" si="192"/>
        <v>23</v>
      </c>
      <c r="Q432" s="304">
        <f t="shared" ca="1" si="193"/>
        <v>0</v>
      </c>
      <c r="R432" s="306">
        <f t="shared" ca="1" si="194"/>
        <v>0</v>
      </c>
      <c r="S432" s="307">
        <f t="shared" ca="1" si="195"/>
        <v>7.4819999999999904</v>
      </c>
      <c r="T432" s="304">
        <f t="shared" ca="1" si="175"/>
        <v>73.398419999999916</v>
      </c>
      <c r="U432" s="311">
        <f t="shared" ca="1" si="176"/>
        <v>0</v>
      </c>
      <c r="V432" s="306">
        <f t="shared" ca="1" si="177"/>
        <v>1.1131947067058379</v>
      </c>
      <c r="W432" s="304">
        <f t="shared" ca="1" si="178"/>
        <v>48.862397272652551</v>
      </c>
      <c r="Y432" s="314" t="str">
        <f t="shared" ca="1" si="196"/>
        <v/>
      </c>
      <c r="Z432" s="315" t="str">
        <f t="shared" ca="1" si="197"/>
        <v/>
      </c>
      <c r="AA432" s="316" t="str">
        <f t="shared" ca="1" si="198"/>
        <v/>
      </c>
      <c r="AC432" s="310" t="e">
        <f t="shared" ca="1" si="199"/>
        <v>#N/A</v>
      </c>
      <c r="AD432" s="323" t="e">
        <f t="shared" ca="1" si="200"/>
        <v>#N/A</v>
      </c>
      <c r="AE432" s="324">
        <f t="shared" ca="1" si="179"/>
        <v>956.33860579283362</v>
      </c>
      <c r="AG432" s="306">
        <f t="shared" ca="1" si="201"/>
        <v>-16.416956189344738</v>
      </c>
      <c r="AH432" s="304">
        <f t="shared" ca="1" si="202"/>
        <v>-6.7067461799649433</v>
      </c>
    </row>
    <row r="433" spans="1:34" x14ac:dyDescent="0.2">
      <c r="A433" s="347">
        <f t="shared" ca="1" si="180"/>
        <v>0.1</v>
      </c>
      <c r="B433" s="304">
        <f t="shared" ca="1" si="181"/>
        <v>6.8999999999999488</v>
      </c>
      <c r="D433" s="306">
        <f t="shared" ca="1" si="182"/>
        <v>-0.93612547334201501</v>
      </c>
      <c r="E433" s="307">
        <f t="shared" ca="1" si="183"/>
        <v>-16.27321805717142</v>
      </c>
      <c r="F433" s="304">
        <f t="shared" ca="1" si="184"/>
        <v>16.300121374949629</v>
      </c>
      <c r="G433" s="306">
        <f t="shared" ca="1" si="185"/>
        <v>18.376577487168916</v>
      </c>
      <c r="H433" s="307">
        <f t="shared" ca="1" si="186"/>
        <v>125.89496997019914</v>
      </c>
      <c r="I433" s="304">
        <f t="shared" ca="1" si="187"/>
        <v>127.22909283626629</v>
      </c>
      <c r="J433" s="306">
        <f t="shared" ca="1" si="188"/>
        <v>116.59495602406962</v>
      </c>
      <c r="K433" s="307">
        <f t="shared" ca="1" si="189"/>
        <v>969.00946888013937</v>
      </c>
      <c r="L433" s="304">
        <f t="shared" ca="1" si="174"/>
        <v>975.99883942022416</v>
      </c>
      <c r="M433" s="306">
        <f t="shared" ca="1" si="190"/>
        <v>1.4258524314632324</v>
      </c>
      <c r="N433" s="304">
        <f t="shared" ca="1" si="191"/>
        <v>81.695326531309689</v>
      </c>
      <c r="P433" s="310">
        <f t="shared" ca="1" si="192"/>
        <v>23</v>
      </c>
      <c r="Q433" s="304">
        <f t="shared" ca="1" si="193"/>
        <v>0</v>
      </c>
      <c r="R433" s="306">
        <f t="shared" ca="1" si="194"/>
        <v>0</v>
      </c>
      <c r="S433" s="307">
        <f t="shared" ca="1" si="195"/>
        <v>7.4819999999999904</v>
      </c>
      <c r="T433" s="304">
        <f t="shared" ca="1" si="175"/>
        <v>73.398419999999916</v>
      </c>
      <c r="U433" s="311">
        <f t="shared" ca="1" si="176"/>
        <v>0</v>
      </c>
      <c r="V433" s="306">
        <f t="shared" ca="1" si="177"/>
        <v>1.1117818147404781</v>
      </c>
      <c r="W433" s="304">
        <f t="shared" ca="1" si="178"/>
        <v>47.578125858474664</v>
      </c>
      <c r="Y433" s="314" t="str">
        <f t="shared" ca="1" si="196"/>
        <v/>
      </c>
      <c r="Z433" s="315" t="str">
        <f t="shared" ca="1" si="197"/>
        <v/>
      </c>
      <c r="AA433" s="316" t="str">
        <f t="shared" ca="1" si="198"/>
        <v/>
      </c>
      <c r="AC433" s="310" t="e">
        <f t="shared" ca="1" si="199"/>
        <v>#N/A</v>
      </c>
      <c r="AD433" s="323" t="e">
        <f t="shared" ca="1" si="200"/>
        <v>#N/A</v>
      </c>
      <c r="AE433" s="324">
        <f t="shared" ca="1" si="179"/>
        <v>969.00946888013937</v>
      </c>
      <c r="AG433" s="306">
        <f t="shared" ca="1" si="201"/>
        <v>-16.239352459991558</v>
      </c>
      <c r="AH433" s="304">
        <f t="shared" ca="1" si="202"/>
        <v>-6.5306598867485448</v>
      </c>
    </row>
    <row r="434" spans="1:34" x14ac:dyDescent="0.2">
      <c r="A434" s="347">
        <f t="shared" ca="1" si="180"/>
        <v>0.1</v>
      </c>
      <c r="B434" s="304">
        <f t="shared" ca="1" si="181"/>
        <v>6.9999999999999485</v>
      </c>
      <c r="D434" s="306">
        <f t="shared" ca="1" si="182"/>
        <v>-0.91847602954247487</v>
      </c>
      <c r="E434" s="307">
        <f t="shared" ca="1" si="183"/>
        <v>-16.102331215556053</v>
      </c>
      <c r="F434" s="304">
        <f t="shared" ca="1" si="184"/>
        <v>16.128504852971183</v>
      </c>
      <c r="G434" s="306">
        <f t="shared" ca="1" si="185"/>
        <v>18.28472988421467</v>
      </c>
      <c r="H434" s="307">
        <f t="shared" ca="1" si="186"/>
        <v>124.28473684864353</v>
      </c>
      <c r="I434" s="304">
        <f t="shared" ca="1" si="187"/>
        <v>125.62255832642187</v>
      </c>
      <c r="J434" s="306">
        <f t="shared" ca="1" si="188"/>
        <v>118.4280213926388</v>
      </c>
      <c r="K434" s="307">
        <f t="shared" ca="1" si="189"/>
        <v>981.51845422108147</v>
      </c>
      <c r="L434" s="304">
        <f t="shared" ca="1" si="174"/>
        <v>988.63728041558124</v>
      </c>
      <c r="M434" s="306">
        <f t="shared" ca="1" si="190"/>
        <v>1.4247245079106801</v>
      </c>
      <c r="N434" s="304">
        <f t="shared" ca="1" si="191"/>
        <v>81.630701272135042</v>
      </c>
      <c r="P434" s="310">
        <f t="shared" ca="1" si="192"/>
        <v>23</v>
      </c>
      <c r="Q434" s="304">
        <f t="shared" ca="1" si="193"/>
        <v>0</v>
      </c>
      <c r="R434" s="306">
        <f t="shared" ca="1" si="194"/>
        <v>0</v>
      </c>
      <c r="S434" s="307">
        <f t="shared" ca="1" si="195"/>
        <v>7.4819999999999904</v>
      </c>
      <c r="T434" s="304">
        <f t="shared" ca="1" si="175"/>
        <v>73.398419999999916</v>
      </c>
      <c r="U434" s="311">
        <f t="shared" ca="1" si="176"/>
        <v>0</v>
      </c>
      <c r="V434" s="306">
        <f t="shared" ca="1" si="177"/>
        <v>1.1103886472474129</v>
      </c>
      <c r="W434" s="304">
        <f t="shared" ca="1" si="178"/>
        <v>46.326040625711819</v>
      </c>
      <c r="Y434" s="314" t="str">
        <f t="shared" ca="1" si="196"/>
        <v/>
      </c>
      <c r="Z434" s="315" t="str">
        <f t="shared" ca="1" si="197"/>
        <v/>
      </c>
      <c r="AA434" s="316" t="str">
        <f t="shared" ca="1" si="198"/>
        <v/>
      </c>
      <c r="AC434" s="310">
        <f t="shared" ca="1" si="199"/>
        <v>6.9999999999999485</v>
      </c>
      <c r="AD434" s="323">
        <f t="shared" ca="1" si="200"/>
        <v>118.4280213926388</v>
      </c>
      <c r="AE434" s="324">
        <f t="shared" ca="1" si="179"/>
        <v>981.51845422108147</v>
      </c>
      <c r="AG434" s="306">
        <f t="shared" ca="1" si="201"/>
        <v>-16.066144190701678</v>
      </c>
      <c r="AH434" s="304">
        <f t="shared" ca="1" si="202"/>
        <v>-6.3590117426456461</v>
      </c>
    </row>
    <row r="435" spans="1:34" x14ac:dyDescent="0.2">
      <c r="A435" s="347">
        <f t="shared" ca="1" si="180"/>
        <v>0.1</v>
      </c>
      <c r="B435" s="304">
        <f t="shared" ca="1" si="181"/>
        <v>7.0999999999999481</v>
      </c>
      <c r="D435" s="306">
        <f t="shared" ca="1" si="182"/>
        <v>-0.90121496594394135</v>
      </c>
      <c r="E435" s="307">
        <f t="shared" ca="1" si="183"/>
        <v>-15.935727073665911</v>
      </c>
      <c r="F435" s="304">
        <f t="shared" ca="1" si="184"/>
        <v>15.961189986376642</v>
      </c>
      <c r="G435" s="306">
        <f t="shared" ca="1" si="185"/>
        <v>18.194608387620274</v>
      </c>
      <c r="H435" s="307">
        <f t="shared" ca="1" si="186"/>
        <v>122.69116414127694</v>
      </c>
      <c r="I435" s="304">
        <f t="shared" ca="1" si="187"/>
        <v>124.03292116499</v>
      </c>
      <c r="J435" s="306">
        <f t="shared" ca="1" si="188"/>
        <v>120.25198830623054</v>
      </c>
      <c r="K435" s="307">
        <f t="shared" ca="1" si="189"/>
        <v>993.86724927057753</v>
      </c>
      <c r="L435" s="304">
        <f t="shared" ca="1" si="174"/>
        <v>1001.1157025360586</v>
      </c>
      <c r="M435" s="306">
        <f t="shared" ca="1" si="190"/>
        <v>1.4235733019051293</v>
      </c>
      <c r="N435" s="304">
        <f t="shared" ca="1" si="191"/>
        <v>81.564742026666863</v>
      </c>
      <c r="P435" s="310">
        <f t="shared" ca="1" si="192"/>
        <v>23</v>
      </c>
      <c r="Q435" s="304">
        <f t="shared" ca="1" si="193"/>
        <v>0</v>
      </c>
      <c r="R435" s="306">
        <f t="shared" ca="1" si="194"/>
        <v>0</v>
      </c>
      <c r="S435" s="307">
        <f t="shared" ca="1" si="195"/>
        <v>7.4819999999999904</v>
      </c>
      <c r="T435" s="304">
        <f t="shared" ca="1" si="175"/>
        <v>73.398419999999916</v>
      </c>
      <c r="U435" s="311">
        <f t="shared" ca="1" si="176"/>
        <v>0</v>
      </c>
      <c r="V435" s="306">
        <f t="shared" ca="1" si="177"/>
        <v>1.109014949137229</v>
      </c>
      <c r="W435" s="304">
        <f t="shared" ca="1" si="178"/>
        <v>45.10516211884012</v>
      </c>
      <c r="Y435" s="314" t="str">
        <f t="shared" ca="1" si="196"/>
        <v/>
      </c>
      <c r="Z435" s="315" t="str">
        <f t="shared" ca="1" si="197"/>
        <v/>
      </c>
      <c r="AA435" s="316" t="str">
        <f t="shared" ca="1" si="198"/>
        <v/>
      </c>
      <c r="AC435" s="310" t="e">
        <f t="shared" ca="1" si="199"/>
        <v>#N/A</v>
      </c>
      <c r="AD435" s="323" t="e">
        <f t="shared" ca="1" si="200"/>
        <v>#N/A</v>
      </c>
      <c r="AE435" s="324">
        <f t="shared" ca="1" si="179"/>
        <v>993.86724927057753</v>
      </c>
      <c r="AG435" s="306">
        <f t="shared" ca="1" si="201"/>
        <v>-15.897193503041684</v>
      </c>
      <c r="AH435" s="304">
        <f t="shared" ca="1" si="202"/>
        <v>-6.1916654137545946</v>
      </c>
    </row>
    <row r="436" spans="1:34" x14ac:dyDescent="0.2">
      <c r="A436" s="347">
        <f t="shared" ca="1" si="180"/>
        <v>0.1</v>
      </c>
      <c r="B436" s="304">
        <f t="shared" ca="1" si="181"/>
        <v>7.1999999999999478</v>
      </c>
      <c r="D436" s="306">
        <f t="shared" ca="1" si="182"/>
        <v>-0.88432985000854647</v>
      </c>
      <c r="E436" s="307">
        <f t="shared" ca="1" si="183"/>
        <v>-15.773275299525167</v>
      </c>
      <c r="F436" s="304">
        <f t="shared" ca="1" si="184"/>
        <v>15.798045858846812</v>
      </c>
      <c r="G436" s="306">
        <f t="shared" ca="1" si="185"/>
        <v>18.106175402619421</v>
      </c>
      <c r="H436" s="307">
        <f t="shared" ca="1" si="186"/>
        <v>121.11383661132443</v>
      </c>
      <c r="I436" s="304">
        <f t="shared" ca="1" si="187"/>
        <v>122.45976893014705</v>
      </c>
      <c r="J436" s="306">
        <f t="shared" ca="1" si="188"/>
        <v>122.06702749574252</v>
      </c>
      <c r="K436" s="307">
        <f t="shared" ca="1" si="189"/>
        <v>1006.0574993082076</v>
      </c>
      <c r="L436" s="304">
        <f t="shared" ca="1" si="174"/>
        <v>1013.4357656585496</v>
      </c>
      <c r="M436" s="306">
        <f t="shared" ca="1" si="190"/>
        <v>1.4223981840853872</v>
      </c>
      <c r="N436" s="304">
        <f t="shared" ca="1" si="191"/>
        <v>81.497412735165028</v>
      </c>
      <c r="P436" s="310">
        <f t="shared" ca="1" si="192"/>
        <v>23</v>
      </c>
      <c r="Q436" s="304">
        <f t="shared" ca="1" si="193"/>
        <v>0</v>
      </c>
      <c r="R436" s="306">
        <f t="shared" ca="1" si="194"/>
        <v>0</v>
      </c>
      <c r="S436" s="307">
        <f t="shared" ca="1" si="195"/>
        <v>7.4819999999999904</v>
      </c>
      <c r="T436" s="304">
        <f t="shared" ca="1" si="175"/>
        <v>73.398419999999916</v>
      </c>
      <c r="U436" s="311">
        <f t="shared" ca="1" si="176"/>
        <v>0</v>
      </c>
      <c r="V436" s="306">
        <f t="shared" ca="1" si="177"/>
        <v>1.1076604719430916</v>
      </c>
      <c r="W436" s="304">
        <f t="shared" ca="1" si="178"/>
        <v>43.914549566245292</v>
      </c>
      <c r="Y436" s="314" t="str">
        <f t="shared" ca="1" si="196"/>
        <v/>
      </c>
      <c r="Z436" s="315" t="str">
        <f t="shared" ca="1" si="197"/>
        <v/>
      </c>
      <c r="AA436" s="316" t="str">
        <f t="shared" ca="1" si="198"/>
        <v/>
      </c>
      <c r="AC436" s="310" t="e">
        <f t="shared" ca="1" si="199"/>
        <v>#N/A</v>
      </c>
      <c r="AD436" s="323" t="e">
        <f t="shared" ca="1" si="200"/>
        <v>#N/A</v>
      </c>
      <c r="AE436" s="324">
        <f t="shared" ca="1" si="179"/>
        <v>1006.0574993082076</v>
      </c>
      <c r="AG436" s="306">
        <f t="shared" ca="1" si="201"/>
        <v>-15.732367872964119</v>
      </c>
      <c r="AH436" s="304">
        <f t="shared" ca="1" si="202"/>
        <v>-6.0284899918257384</v>
      </c>
    </row>
    <row r="437" spans="1:34" x14ac:dyDescent="0.2">
      <c r="A437" s="347">
        <f t="shared" ca="1" si="180"/>
        <v>0.1</v>
      </c>
      <c r="B437" s="304">
        <f t="shared" ca="1" si="181"/>
        <v>7.2999999999999474</v>
      </c>
      <c r="D437" s="306">
        <f t="shared" ca="1" si="182"/>
        <v>-0.86780873311724249</v>
      </c>
      <c r="E437" s="307">
        <f t="shared" ca="1" si="183"/>
        <v>-15.614850708418345</v>
      </c>
      <c r="F437" s="304">
        <f t="shared" ca="1" si="184"/>
        <v>15.638946724235218</v>
      </c>
      <c r="G437" s="306">
        <f t="shared" ca="1" si="185"/>
        <v>18.019394529307696</v>
      </c>
      <c r="H437" s="307">
        <f t="shared" ca="1" si="186"/>
        <v>119.55235154048259</v>
      </c>
      <c r="I437" s="304">
        <f t="shared" ca="1" si="187"/>
        <v>120.90270194690429</v>
      </c>
      <c r="J437" s="306">
        <f t="shared" ca="1" si="188"/>
        <v>123.87330599233889</v>
      </c>
      <c r="K437" s="307">
        <f t="shared" ca="1" si="189"/>
        <v>1018.0908087157979</v>
      </c>
      <c r="L437" s="304">
        <f t="shared" ca="1" si="174"/>
        <v>1025.5990886935592</v>
      </c>
      <c r="M437" s="306">
        <f t="shared" ca="1" si="190"/>
        <v>1.4211985013953508</v>
      </c>
      <c r="N437" s="304">
        <f t="shared" ca="1" si="191"/>
        <v>81.428675980271038</v>
      </c>
      <c r="P437" s="310">
        <f t="shared" ca="1" si="192"/>
        <v>23</v>
      </c>
      <c r="Q437" s="304">
        <f t="shared" ca="1" si="193"/>
        <v>0</v>
      </c>
      <c r="R437" s="306">
        <f t="shared" ca="1" si="194"/>
        <v>0</v>
      </c>
      <c r="S437" s="307">
        <f t="shared" ca="1" si="195"/>
        <v>7.4819999999999904</v>
      </c>
      <c r="T437" s="304">
        <f t="shared" ca="1" si="175"/>
        <v>73.398419999999916</v>
      </c>
      <c r="U437" s="311">
        <f t="shared" ca="1" si="176"/>
        <v>0</v>
      </c>
      <c r="V437" s="306">
        <f t="shared" ca="1" si="177"/>
        <v>1.1063249736118108</v>
      </c>
      <c r="W437" s="304">
        <f t="shared" ca="1" si="178"/>
        <v>42.753299074441244</v>
      </c>
      <c r="Y437" s="314" t="str">
        <f t="shared" ca="1" si="196"/>
        <v/>
      </c>
      <c r="Z437" s="315" t="str">
        <f t="shared" ca="1" si="197"/>
        <v/>
      </c>
      <c r="AA437" s="316" t="str">
        <f t="shared" ca="1" si="198"/>
        <v/>
      </c>
      <c r="AC437" s="310" t="e">
        <f t="shared" ca="1" si="199"/>
        <v>#N/A</v>
      </c>
      <c r="AD437" s="323" t="e">
        <f t="shared" ca="1" si="200"/>
        <v>#N/A</v>
      </c>
      <c r="AE437" s="324">
        <f t="shared" ca="1" si="179"/>
        <v>1018.0908087157979</v>
      </c>
      <c r="AG437" s="306">
        <f t="shared" ca="1" si="201"/>
        <v>-15.571539871474579</v>
      </c>
      <c r="AH437" s="304">
        <f t="shared" ca="1" si="202"/>
        <v>-5.8693597388726744</v>
      </c>
    </row>
    <row r="438" spans="1:34" x14ac:dyDescent="0.2">
      <c r="A438" s="347">
        <f t="shared" ca="1" si="180"/>
        <v>0.1</v>
      </c>
      <c r="B438" s="304">
        <f t="shared" ca="1" si="181"/>
        <v>7.3999999999999471</v>
      </c>
      <c r="D438" s="306">
        <f t="shared" ca="1" si="182"/>
        <v>-0.85164012789597188</v>
      </c>
      <c r="E438" s="307">
        <f t="shared" ca="1" si="183"/>
        <v>-15.460333022599762</v>
      </c>
      <c r="F438" s="304">
        <f t="shared" ca="1" si="184"/>
        <v>15.483771765210548</v>
      </c>
      <c r="G438" s="306">
        <f t="shared" ca="1" si="185"/>
        <v>17.934230516518099</v>
      </c>
      <c r="H438" s="307">
        <f t="shared" ca="1" si="186"/>
        <v>118.00631823822262</v>
      </c>
      <c r="I438" s="304">
        <f t="shared" ca="1" si="187"/>
        <v>119.36133280237902</v>
      </c>
      <c r="J438" s="306">
        <f t="shared" ca="1" si="188"/>
        <v>125.67098724463017</v>
      </c>
      <c r="K438" s="307">
        <f t="shared" ca="1" si="189"/>
        <v>1029.9687422047332</v>
      </c>
      <c r="L438" s="304">
        <f t="shared" ca="1" si="174"/>
        <v>1037.6072508198081</v>
      </c>
      <c r="M438" s="306">
        <f t="shared" ca="1" si="190"/>
        <v>1.4199735759849013</v>
      </c>
      <c r="N438" s="304">
        <f t="shared" ca="1" si="191"/>
        <v>81.358492924033953</v>
      </c>
      <c r="P438" s="310">
        <f t="shared" ca="1" si="192"/>
        <v>23</v>
      </c>
      <c r="Q438" s="304">
        <f t="shared" ca="1" si="193"/>
        <v>0</v>
      </c>
      <c r="R438" s="306">
        <f t="shared" ca="1" si="194"/>
        <v>0</v>
      </c>
      <c r="S438" s="307">
        <f t="shared" ca="1" si="195"/>
        <v>7.4819999999999904</v>
      </c>
      <c r="T438" s="304">
        <f t="shared" ca="1" si="175"/>
        <v>73.398419999999916</v>
      </c>
      <c r="U438" s="311">
        <f t="shared" ca="1" si="176"/>
        <v>0</v>
      </c>
      <c r="V438" s="306">
        <f t="shared" ca="1" si="177"/>
        <v>1.1050082183033696</v>
      </c>
      <c r="W438" s="304">
        <f t="shared" ca="1" si="178"/>
        <v>41.620541920768751</v>
      </c>
      <c r="Y438" s="314" t="str">
        <f t="shared" ca="1" si="196"/>
        <v/>
      </c>
      <c r="Z438" s="315" t="str">
        <f t="shared" ca="1" si="197"/>
        <v/>
      </c>
      <c r="AA438" s="316" t="str">
        <f t="shared" ca="1" si="198"/>
        <v/>
      </c>
      <c r="AC438" s="310" t="e">
        <f t="shared" ca="1" si="199"/>
        <v>#N/A</v>
      </c>
      <c r="AD438" s="323" t="e">
        <f t="shared" ca="1" si="200"/>
        <v>#N/A</v>
      </c>
      <c r="AE438" s="324">
        <f t="shared" ca="1" si="179"/>
        <v>1029.9687422047332</v>
      </c>
      <c r="AG438" s="306">
        <f t="shared" ca="1" si="201"/>
        <v>-15.414586919081218</v>
      </c>
      <c r="AH438" s="304">
        <f t="shared" ca="1" si="202"/>
        <v>-5.7141538458221461</v>
      </c>
    </row>
    <row r="439" spans="1:34" x14ac:dyDescent="0.2">
      <c r="A439" s="347">
        <f t="shared" ca="1" si="180"/>
        <v>0.1</v>
      </c>
      <c r="B439" s="304">
        <f t="shared" ca="1" si="181"/>
        <v>7.4999999999999467</v>
      </c>
      <c r="D439" s="306">
        <f t="shared" ca="1" si="182"/>
        <v>-0.83581298677983085</v>
      </c>
      <c r="E439" s="307">
        <f t="shared" ca="1" si="183"/>
        <v>-15.309606644106474</v>
      </c>
      <c r="F439" s="304">
        <f t="shared" ca="1" si="184"/>
        <v>15.332404865060761</v>
      </c>
      <c r="G439" s="306">
        <f t="shared" ca="1" si="185"/>
        <v>17.850649217840115</v>
      </c>
      <c r="H439" s="307">
        <f t="shared" ca="1" si="186"/>
        <v>116.47535757381198</v>
      </c>
      <c r="I439" s="304">
        <f t="shared" ca="1" si="187"/>
        <v>117.83528588434677</v>
      </c>
      <c r="J439" s="306">
        <f t="shared" ca="1" si="188"/>
        <v>127.46023123134808</v>
      </c>
      <c r="K439" s="307">
        <f t="shared" ca="1" si="189"/>
        <v>1041.6928259953349</v>
      </c>
      <c r="L439" s="304">
        <f t="shared" ca="1" si="174"/>
        <v>1049.461792670746</v>
      </c>
      <c r="M439" s="306">
        <f t="shared" ca="1" si="190"/>
        <v>1.4187227040490957</v>
      </c>
      <c r="N439" s="304">
        <f t="shared" ca="1" si="191"/>
        <v>81.286823241400938</v>
      </c>
      <c r="P439" s="310">
        <f t="shared" ca="1" si="192"/>
        <v>23</v>
      </c>
      <c r="Q439" s="304">
        <f t="shared" ca="1" si="193"/>
        <v>0</v>
      </c>
      <c r="R439" s="306">
        <f t="shared" ca="1" si="194"/>
        <v>0</v>
      </c>
      <c r="S439" s="307">
        <f t="shared" ca="1" si="195"/>
        <v>7.4819999999999904</v>
      </c>
      <c r="T439" s="304">
        <f t="shared" ca="1" si="175"/>
        <v>73.398419999999916</v>
      </c>
      <c r="U439" s="311">
        <f t="shared" ca="1" si="176"/>
        <v>0</v>
      </c>
      <c r="V439" s="306">
        <f t="shared" ca="1" si="177"/>
        <v>1.1037099761985121</v>
      </c>
      <c r="W439" s="304">
        <f t="shared" ca="1" si="178"/>
        <v>40.5154429384758</v>
      </c>
      <c r="Y439" s="314" t="str">
        <f t="shared" ca="1" si="196"/>
        <v/>
      </c>
      <c r="Z439" s="315" t="str">
        <f t="shared" ca="1" si="197"/>
        <v/>
      </c>
      <c r="AA439" s="316" t="str">
        <f t="shared" ca="1" si="198"/>
        <v/>
      </c>
      <c r="AC439" s="310" t="e">
        <f t="shared" ca="1" si="199"/>
        <v>#N/A</v>
      </c>
      <c r="AD439" s="323" t="e">
        <f t="shared" ca="1" si="200"/>
        <v>#N/A</v>
      </c>
      <c r="AE439" s="324">
        <f t="shared" ca="1" si="179"/>
        <v>1041.6928259953349</v>
      </c>
      <c r="AG439" s="306">
        <f t="shared" ca="1" si="201"/>
        <v>-15.26139105313122</v>
      </c>
      <c r="AH439" s="304">
        <f t="shared" ca="1" si="202"/>
        <v>-5.5627562043262238</v>
      </c>
    </row>
    <row r="440" spans="1:34" x14ac:dyDescent="0.2">
      <c r="A440" s="347">
        <f t="shared" ca="1" si="180"/>
        <v>0.1</v>
      </c>
      <c r="B440" s="304">
        <f t="shared" ca="1" si="181"/>
        <v>7.5999999999999464</v>
      </c>
      <c r="D440" s="306">
        <f t="shared" ca="1" si="182"/>
        <v>-0.82031668173877137</v>
      </c>
      <c r="E440" s="307">
        <f t="shared" ca="1" si="183"/>
        <v>-15.162560439863215</v>
      </c>
      <c r="F440" s="304">
        <f t="shared" ca="1" si="184"/>
        <v>15.184734391843799</v>
      </c>
      <c r="G440" s="306">
        <f t="shared" ca="1" si="185"/>
        <v>17.768617549666239</v>
      </c>
      <c r="H440" s="307">
        <f t="shared" ca="1" si="186"/>
        <v>114.95910152982566</v>
      </c>
      <c r="I440" s="304">
        <f t="shared" ca="1" si="187"/>
        <v>116.32419694187048</v>
      </c>
      <c r="J440" s="306">
        <f t="shared" ca="1" si="188"/>
        <v>129.2411945697234</v>
      </c>
      <c r="K440" s="307">
        <f t="shared" ca="1" si="189"/>
        <v>1053.2645489505169</v>
      </c>
      <c r="L440" s="304">
        <f t="shared" ca="1" si="174"/>
        <v>1061.164217475196</v>
      </c>
      <c r="M440" s="306">
        <f t="shared" ca="1" si="190"/>
        <v>1.4174451546016185</v>
      </c>
      <c r="N440" s="304">
        <f t="shared" ca="1" si="191"/>
        <v>81.213625049941214</v>
      </c>
      <c r="P440" s="310">
        <f t="shared" ca="1" si="192"/>
        <v>23</v>
      </c>
      <c r="Q440" s="304">
        <f t="shared" ca="1" si="193"/>
        <v>0</v>
      </c>
      <c r="R440" s="306">
        <f t="shared" ca="1" si="194"/>
        <v>0</v>
      </c>
      <c r="S440" s="307">
        <f t="shared" ca="1" si="195"/>
        <v>7.4819999999999904</v>
      </c>
      <c r="T440" s="304">
        <f t="shared" ca="1" si="175"/>
        <v>73.398419999999916</v>
      </c>
      <c r="U440" s="311">
        <f t="shared" ca="1" si="176"/>
        <v>0</v>
      </c>
      <c r="V440" s="306">
        <f t="shared" ca="1" si="177"/>
        <v>1.1024300233140139</v>
      </c>
      <c r="W440" s="304">
        <f t="shared" ca="1" si="178"/>
        <v>39.437198988503916</v>
      </c>
      <c r="Y440" s="314" t="str">
        <f t="shared" ca="1" si="196"/>
        <v/>
      </c>
      <c r="Z440" s="315" t="str">
        <f t="shared" ca="1" si="197"/>
        <v/>
      </c>
      <c r="AA440" s="316" t="str">
        <f t="shared" ca="1" si="198"/>
        <v/>
      </c>
      <c r="AC440" s="310" t="e">
        <f t="shared" ca="1" si="199"/>
        <v>#N/A</v>
      </c>
      <c r="AD440" s="323" t="e">
        <f t="shared" ca="1" si="200"/>
        <v>#N/A</v>
      </c>
      <c r="AE440" s="324">
        <f t="shared" ca="1" si="179"/>
        <v>1053.2645489505169</v>
      </c>
      <c r="AG440" s="306">
        <f t="shared" ca="1" si="201"/>
        <v>-15.111838707198437</v>
      </c>
      <c r="AH440" s="304">
        <f t="shared" ca="1" si="202"/>
        <v>-5.4150551909216587</v>
      </c>
    </row>
    <row r="441" spans="1:34" x14ac:dyDescent="0.2">
      <c r="A441" s="347">
        <f t="shared" ca="1" si="180"/>
        <v>0.1</v>
      </c>
      <c r="B441" s="304">
        <f t="shared" ca="1" si="181"/>
        <v>7.699999999999946</v>
      </c>
      <c r="D441" s="306">
        <f t="shared" ca="1" si="182"/>
        <v>-0.80514098509371768</v>
      </c>
      <c r="E441" s="307">
        <f t="shared" ca="1" si="183"/>
        <v>-15.019087538324058</v>
      </c>
      <c r="F441" s="304">
        <f t="shared" ca="1" si="184"/>
        <v>15.040652994126242</v>
      </c>
      <c r="G441" s="306">
        <f t="shared" ca="1" si="185"/>
        <v>17.688103451156866</v>
      </c>
      <c r="H441" s="307">
        <f t="shared" ca="1" si="186"/>
        <v>113.45719277599325</v>
      </c>
      <c r="I441" s="304">
        <f t="shared" ca="1" si="187"/>
        <v>114.82771266688073</v>
      </c>
      <c r="J441" s="306">
        <f t="shared" ca="1" si="188"/>
        <v>131.01403061976455</v>
      </c>
      <c r="K441" s="307">
        <f t="shared" ca="1" si="189"/>
        <v>1064.6853636658079</v>
      </c>
      <c r="L441" s="304">
        <f t="shared" ca="1" si="174"/>
        <v>1072.7159921542282</v>
      </c>
      <c r="M441" s="306">
        <f t="shared" ca="1" si="190"/>
        <v>1.4161401681781536</v>
      </c>
      <c r="N441" s="304">
        <f t="shared" ca="1" si="191"/>
        <v>81.13885483555481</v>
      </c>
      <c r="P441" s="310">
        <f t="shared" ca="1" si="192"/>
        <v>23</v>
      </c>
      <c r="Q441" s="304">
        <f t="shared" ca="1" si="193"/>
        <v>0</v>
      </c>
      <c r="R441" s="306">
        <f t="shared" ca="1" si="194"/>
        <v>0</v>
      </c>
      <c r="S441" s="307">
        <f t="shared" ca="1" si="195"/>
        <v>7.4819999999999904</v>
      </c>
      <c r="T441" s="304">
        <f t="shared" ca="1" si="175"/>
        <v>73.398419999999916</v>
      </c>
      <c r="U441" s="311">
        <f t="shared" ca="1" si="176"/>
        <v>0</v>
      </c>
      <c r="V441" s="306">
        <f t="shared" ca="1" si="177"/>
        <v>1.1011681413252645</v>
      </c>
      <c r="W441" s="304">
        <f t="shared" ca="1" si="178"/>
        <v>38.385037512695007</v>
      </c>
      <c r="Y441" s="314" t="str">
        <f t="shared" ca="1" si="196"/>
        <v/>
      </c>
      <c r="Z441" s="315" t="str">
        <f t="shared" ca="1" si="197"/>
        <v/>
      </c>
      <c r="AA441" s="316" t="str">
        <f t="shared" ca="1" si="198"/>
        <v/>
      </c>
      <c r="AC441" s="310" t="e">
        <f t="shared" ca="1" si="199"/>
        <v>#N/A</v>
      </c>
      <c r="AD441" s="323" t="e">
        <f t="shared" ca="1" si="200"/>
        <v>#N/A</v>
      </c>
      <c r="AE441" s="324">
        <f t="shared" ca="1" si="179"/>
        <v>1064.6853636658079</v>
      </c>
      <c r="AG441" s="306">
        <f t="shared" ca="1" si="201"/>
        <v>-14.965820501741202</v>
      </c>
      <c r="AH441" s="304">
        <f t="shared" ca="1" si="202"/>
        <v>-5.2709434627778622</v>
      </c>
    </row>
    <row r="442" spans="1:34" x14ac:dyDescent="0.2">
      <c r="A442" s="347">
        <f t="shared" ca="1" si="180"/>
        <v>0.1</v>
      </c>
      <c r="B442" s="304">
        <f t="shared" ca="1" si="181"/>
        <v>7.7999999999999456</v>
      </c>
      <c r="D442" s="306">
        <f t="shared" ca="1" si="182"/>
        <v>-0.79027605135687928</v>
      </c>
      <c r="E442" s="307">
        <f t="shared" ca="1" si="183"/>
        <v>-14.879085136947452</v>
      </c>
      <c r="F442" s="304">
        <f t="shared" ca="1" si="184"/>
        <v>14.900057407603462</v>
      </c>
      <c r="G442" s="306">
        <f t="shared" ca="1" si="185"/>
        <v>17.609075846021177</v>
      </c>
      <c r="H442" s="307">
        <f t="shared" ca="1" si="186"/>
        <v>111.9692842622985</v>
      </c>
      <c r="I442" s="304">
        <f t="shared" ca="1" si="187"/>
        <v>113.34549029565461</v>
      </c>
      <c r="J442" s="306">
        <f t="shared" ca="1" si="188"/>
        <v>132.77888958462347</v>
      </c>
      <c r="K442" s="307">
        <f t="shared" ca="1" si="189"/>
        <v>1075.9566875177225</v>
      </c>
      <c r="L442" s="304">
        <f t="shared" ca="1" si="174"/>
        <v>1084.1185483762538</v>
      </c>
      <c r="M442" s="306">
        <f t="shared" ca="1" si="190"/>
        <v>1.4148069554650131</v>
      </c>
      <c r="N442" s="304">
        <f t="shared" ca="1" si="191"/>
        <v>81.06246737389867</v>
      </c>
      <c r="P442" s="310">
        <f t="shared" ca="1" si="192"/>
        <v>23</v>
      </c>
      <c r="Q442" s="304">
        <f t="shared" ca="1" si="193"/>
        <v>0</v>
      </c>
      <c r="R442" s="306">
        <f t="shared" ca="1" si="194"/>
        <v>0</v>
      </c>
      <c r="S442" s="307">
        <f t="shared" ca="1" si="195"/>
        <v>7.4819999999999904</v>
      </c>
      <c r="T442" s="304">
        <f t="shared" ca="1" si="175"/>
        <v>73.398419999999916</v>
      </c>
      <c r="U442" s="311">
        <f t="shared" ca="1" si="176"/>
        <v>0</v>
      </c>
      <c r="V442" s="306">
        <f t="shared" ca="1" si="177"/>
        <v>1.0999241173958356</v>
      </c>
      <c r="W442" s="304">
        <f t="shared" ca="1" si="178"/>
        <v>37.358215163495053</v>
      </c>
      <c r="Y442" s="314" t="str">
        <f t="shared" ca="1" si="196"/>
        <v/>
      </c>
      <c r="Z442" s="315" t="str">
        <f t="shared" ca="1" si="197"/>
        <v/>
      </c>
      <c r="AA442" s="316" t="str">
        <f t="shared" ca="1" si="198"/>
        <v/>
      </c>
      <c r="AC442" s="310" t="e">
        <f t="shared" ca="1" si="199"/>
        <v>#N/A</v>
      </c>
      <c r="AD442" s="323" t="e">
        <f t="shared" ca="1" si="200"/>
        <v>#N/A</v>
      </c>
      <c r="AE442" s="324">
        <f t="shared" ca="1" si="179"/>
        <v>1075.9566875177225</v>
      </c>
      <c r="AG442" s="306">
        <f t="shared" ca="1" si="201"/>
        <v>-14.823231045299483</v>
      </c>
      <c r="AH442" s="304">
        <f t="shared" ca="1" si="202"/>
        <v>-5.1303177643270592</v>
      </c>
    </row>
    <row r="443" spans="1:34" x14ac:dyDescent="0.2">
      <c r="A443" s="347">
        <f t="shared" ca="1" si="180"/>
        <v>0.1</v>
      </c>
      <c r="B443" s="304">
        <f t="shared" ca="1" si="181"/>
        <v>7.8999999999999453</v>
      </c>
      <c r="D443" s="306">
        <f t="shared" ca="1" si="182"/>
        <v>-0.77571240003459363</v>
      </c>
      <c r="E443" s="307">
        <f t="shared" ca="1" si="183"/>
        <v>-14.742454319849418</v>
      </c>
      <c r="F443" s="304">
        <f t="shared" ca="1" si="184"/>
        <v>14.762848271943128</v>
      </c>
      <c r="G443" s="306">
        <f t="shared" ca="1" si="185"/>
        <v>17.53150460601772</v>
      </c>
      <c r="H443" s="307">
        <f t="shared" ca="1" si="186"/>
        <v>110.49503883031356</v>
      </c>
      <c r="I443" s="304">
        <f t="shared" ca="1" si="187"/>
        <v>111.87719722920897</v>
      </c>
      <c r="J443" s="306">
        <f t="shared" ca="1" si="188"/>
        <v>134.53591860722543</v>
      </c>
      <c r="K443" s="307">
        <f t="shared" ca="1" si="189"/>
        <v>1087.0799036723531</v>
      </c>
      <c r="L443" s="304">
        <f t="shared" ca="1" si="174"/>
        <v>1095.373283572218</v>
      </c>
      <c r="M443" s="306">
        <f t="shared" ca="1" si="190"/>
        <v>1.4134446958479951</v>
      </c>
      <c r="N443" s="304">
        <f t="shared" ca="1" si="191"/>
        <v>80.984415647242429</v>
      </c>
      <c r="P443" s="310">
        <f t="shared" ca="1" si="192"/>
        <v>23</v>
      </c>
      <c r="Q443" s="304">
        <f t="shared" ca="1" si="193"/>
        <v>0</v>
      </c>
      <c r="R443" s="306">
        <f t="shared" ca="1" si="194"/>
        <v>0</v>
      </c>
      <c r="S443" s="307">
        <f t="shared" ca="1" si="195"/>
        <v>7.4819999999999904</v>
      </c>
      <c r="T443" s="304">
        <f t="shared" ca="1" si="175"/>
        <v>73.398419999999916</v>
      </c>
      <c r="U443" s="311">
        <f t="shared" ca="1" si="176"/>
        <v>0</v>
      </c>
      <c r="V443" s="306">
        <f t="shared" ca="1" si="177"/>
        <v>1.0986977440136962</v>
      </c>
      <c r="W443" s="304">
        <f t="shared" ca="1" si="178"/>
        <v>36.356016505563382</v>
      </c>
      <c r="Y443" s="314" t="str">
        <f t="shared" ca="1" si="196"/>
        <v/>
      </c>
      <c r="Z443" s="315" t="str">
        <f t="shared" ca="1" si="197"/>
        <v/>
      </c>
      <c r="AA443" s="316" t="str">
        <f t="shared" ca="1" si="198"/>
        <v/>
      </c>
      <c r="AC443" s="310" t="e">
        <f t="shared" ca="1" si="199"/>
        <v>#N/A</v>
      </c>
      <c r="AD443" s="323" t="e">
        <f t="shared" ca="1" si="200"/>
        <v>#N/A</v>
      </c>
      <c r="AE443" s="324">
        <f t="shared" ca="1" si="179"/>
        <v>1087.0799036723531</v>
      </c>
      <c r="AG443" s="306">
        <f t="shared" ca="1" si="201"/>
        <v>-14.683968745546872</v>
      </c>
      <c r="AH443" s="304">
        <f t="shared" ca="1" si="202"/>
        <v>-4.9930787441185647</v>
      </c>
    </row>
    <row r="444" spans="1:34" x14ac:dyDescent="0.2">
      <c r="A444" s="347">
        <f t="shared" ca="1" si="180"/>
        <v>0.1</v>
      </c>
      <c r="B444" s="304">
        <f t="shared" ca="1" si="181"/>
        <v>7.9999999999999449</v>
      </c>
      <c r="D444" s="306">
        <f t="shared" ca="1" si="182"/>
        <v>-0.76144089933523917</v>
      </c>
      <c r="E444" s="307">
        <f t="shared" ca="1" si="183"/>
        <v>-14.60909988502393</v>
      </c>
      <c r="F444" s="304">
        <f t="shared" ca="1" si="184"/>
        <v>14.628929957238386</v>
      </c>
      <c r="G444" s="306">
        <f t="shared" ca="1" si="185"/>
        <v>17.455360516084195</v>
      </c>
      <c r="H444" s="307">
        <f t="shared" ca="1" si="186"/>
        <v>109.03412884181117</v>
      </c>
      <c r="I444" s="304">
        <f t="shared" ca="1" si="187"/>
        <v>110.42251067168844</v>
      </c>
      <c r="J444" s="306">
        <f t="shared" ca="1" si="188"/>
        <v>136.28526186333053</v>
      </c>
      <c r="K444" s="307">
        <f t="shared" ca="1" si="189"/>
        <v>1098.0563620559594</v>
      </c>
      <c r="L444" s="304">
        <f t="shared" ca="1" si="174"/>
        <v>1106.4815619126805</v>
      </c>
      <c r="M444" s="306">
        <f t="shared" ca="1" si="190"/>
        <v>1.4120525358760645</v>
      </c>
      <c r="N444" s="304">
        <f t="shared" ca="1" si="191"/>
        <v>80.904650756443758</v>
      </c>
      <c r="P444" s="310">
        <f t="shared" ca="1" si="192"/>
        <v>23</v>
      </c>
      <c r="Q444" s="304">
        <f t="shared" ca="1" si="193"/>
        <v>0</v>
      </c>
      <c r="R444" s="306">
        <f t="shared" ca="1" si="194"/>
        <v>0</v>
      </c>
      <c r="S444" s="307">
        <f t="shared" ca="1" si="195"/>
        <v>7.4819999999999904</v>
      </c>
      <c r="T444" s="304">
        <f t="shared" ca="1" si="175"/>
        <v>73.398419999999916</v>
      </c>
      <c r="U444" s="311">
        <f t="shared" ca="1" si="176"/>
        <v>0</v>
      </c>
      <c r="V444" s="306">
        <f t="shared" ca="1" si="177"/>
        <v>1.0974888188337866</v>
      </c>
      <c r="W444" s="304">
        <f t="shared" ca="1" si="178"/>
        <v>35.377752785006216</v>
      </c>
      <c r="Y444" s="314" t="str">
        <f t="shared" ca="1" si="196"/>
        <v/>
      </c>
      <c r="Z444" s="315" t="str">
        <f t="shared" ca="1" si="197"/>
        <v/>
      </c>
      <c r="AA444" s="316" t="str">
        <f t="shared" ca="1" si="198"/>
        <v/>
      </c>
      <c r="AC444" s="310">
        <f t="shared" ca="1" si="199"/>
        <v>7.9999999999999449</v>
      </c>
      <c r="AD444" s="323">
        <f t="shared" ca="1" si="200"/>
        <v>136.28526186333053</v>
      </c>
      <c r="AE444" s="324">
        <f t="shared" ca="1" si="179"/>
        <v>1098.0563620559594</v>
      </c>
      <c r="AG444" s="306">
        <f t="shared" ca="1" si="201"/>
        <v>-14.547935629554944</v>
      </c>
      <c r="AH444" s="304">
        <f t="shared" ca="1" si="202"/>
        <v>-4.8591307812835378</v>
      </c>
    </row>
    <row r="445" spans="1:34" x14ac:dyDescent="0.2">
      <c r="A445" s="347">
        <f t="shared" ca="1" si="180"/>
        <v>0.1</v>
      </c>
      <c r="B445" s="304">
        <f t="shared" ca="1" si="181"/>
        <v>8.0999999999999446</v>
      </c>
      <c r="D445" s="306">
        <f t="shared" ca="1" si="182"/>
        <v>-0.74745275072864681</v>
      </c>
      <c r="E445" s="307">
        <f t="shared" ca="1" si="183"/>
        <v>-14.47893018056072</v>
      </c>
      <c r="F445" s="304">
        <f t="shared" ca="1" si="184"/>
        <v>14.498210399498412</v>
      </c>
      <c r="G445" s="306">
        <f t="shared" ca="1" si="185"/>
        <v>17.380615241011331</v>
      </c>
      <c r="H445" s="307">
        <f t="shared" ca="1" si="186"/>
        <v>107.58623582375509</v>
      </c>
      <c r="I445" s="304">
        <f t="shared" ca="1" si="187"/>
        <v>108.98111728588911</v>
      </c>
      <c r="J445" s="306">
        <f t="shared" ca="1" si="188"/>
        <v>138.02706065118531</v>
      </c>
      <c r="K445" s="307">
        <f t="shared" ca="1" si="189"/>
        <v>1108.8873802892376</v>
      </c>
      <c r="L445" s="304">
        <f t="shared" ca="1" si="174"/>
        <v>1117.4447152484699</v>
      </c>
      <c r="M445" s="306">
        <f t="shared" ca="1" si="190"/>
        <v>1.4106295876340276</v>
      </c>
      <c r="N445" s="304">
        <f t="shared" ca="1" si="191"/>
        <v>80.823121827709485</v>
      </c>
      <c r="P445" s="310">
        <f t="shared" ca="1" si="192"/>
        <v>23</v>
      </c>
      <c r="Q445" s="304">
        <f t="shared" ca="1" si="193"/>
        <v>0</v>
      </c>
      <c r="R445" s="306">
        <f t="shared" ca="1" si="194"/>
        <v>0</v>
      </c>
      <c r="S445" s="307">
        <f t="shared" ca="1" si="195"/>
        <v>7.4819999999999904</v>
      </c>
      <c r="T445" s="304">
        <f t="shared" ca="1" si="175"/>
        <v>73.398419999999916</v>
      </c>
      <c r="U445" s="311">
        <f t="shared" ca="1" si="176"/>
        <v>0</v>
      </c>
      <c r="V445" s="306">
        <f t="shared" ca="1" si="177"/>
        <v>1.0962971445266478</v>
      </c>
      <c r="W445" s="304">
        <f t="shared" ca="1" si="178"/>
        <v>34.422760762237985</v>
      </c>
      <c r="Y445" s="314" t="str">
        <f t="shared" ca="1" si="196"/>
        <v/>
      </c>
      <c r="Z445" s="315" t="str">
        <f t="shared" ca="1" si="197"/>
        <v/>
      </c>
      <c r="AA445" s="316" t="str">
        <f t="shared" ca="1" si="198"/>
        <v/>
      </c>
      <c r="AC445" s="310" t="e">
        <f t="shared" ca="1" si="199"/>
        <v>#N/A</v>
      </c>
      <c r="AD445" s="323" t="e">
        <f t="shared" ca="1" si="200"/>
        <v>#N/A</v>
      </c>
      <c r="AE445" s="324">
        <f t="shared" ca="1" si="179"/>
        <v>1108.8873802892376</v>
      </c>
      <c r="AG445" s="306">
        <f t="shared" ca="1" si="201"/>
        <v>-14.415037172666509</v>
      </c>
      <c r="AH445" s="304">
        <f t="shared" ca="1" si="202"/>
        <v>-4.7283818210379929</v>
      </c>
    </row>
    <row r="446" spans="1:34" x14ac:dyDescent="0.2">
      <c r="A446" s="347">
        <f t="shared" ca="1" si="180"/>
        <v>0.1</v>
      </c>
      <c r="B446" s="304">
        <f t="shared" ca="1" si="181"/>
        <v>8.1999999999999442</v>
      </c>
      <c r="D446" s="306">
        <f t="shared" ca="1" si="182"/>
        <v>-0.73373947430703512</v>
      </c>
      <c r="E446" s="307">
        <f t="shared" ca="1" si="183"/>
        <v>-14.351856949328653</v>
      </c>
      <c r="F446" s="304">
        <f t="shared" ca="1" si="184"/>
        <v>14.370600944642138</v>
      </c>
      <c r="G446" s="306">
        <f t="shared" ca="1" si="185"/>
        <v>17.307241293580628</v>
      </c>
      <c r="H446" s="307">
        <f t="shared" ca="1" si="186"/>
        <v>106.15105012882222</v>
      </c>
      <c r="I446" s="304">
        <f t="shared" ca="1" si="187"/>
        <v>107.55271286511537</v>
      </c>
      <c r="J446" s="306">
        <f t="shared" ca="1" si="188"/>
        <v>139.7614534779149</v>
      </c>
      <c r="K446" s="307">
        <f t="shared" ca="1" si="189"/>
        <v>1119.5742445868666</v>
      </c>
      <c r="L446" s="304">
        <f t="shared" ca="1" si="174"/>
        <v>1128.2640440165203</v>
      </c>
      <c r="M446" s="306">
        <f t="shared" ca="1" si="190"/>
        <v>1.409174927017913</v>
      </c>
      <c r="N446" s="304">
        <f t="shared" ca="1" si="191"/>
        <v>80.739775913782225</v>
      </c>
      <c r="P446" s="310">
        <f t="shared" ca="1" si="192"/>
        <v>23</v>
      </c>
      <c r="Q446" s="304">
        <f t="shared" ca="1" si="193"/>
        <v>0</v>
      </c>
      <c r="R446" s="306">
        <f t="shared" ca="1" si="194"/>
        <v>0</v>
      </c>
      <c r="S446" s="307">
        <f t="shared" ca="1" si="195"/>
        <v>7.4819999999999904</v>
      </c>
      <c r="T446" s="304">
        <f t="shared" ca="1" si="175"/>
        <v>73.398419999999916</v>
      </c>
      <c r="U446" s="311">
        <f t="shared" ca="1" si="176"/>
        <v>0</v>
      </c>
      <c r="V446" s="306">
        <f t="shared" ca="1" si="177"/>
        <v>1.0951225286328456</v>
      </c>
      <c r="W446" s="304">
        <f t="shared" ca="1" si="178"/>
        <v>33.490401604738963</v>
      </c>
      <c r="Y446" s="314" t="str">
        <f t="shared" ca="1" si="196"/>
        <v/>
      </c>
      <c r="Z446" s="315" t="str">
        <f t="shared" ca="1" si="197"/>
        <v/>
      </c>
      <c r="AA446" s="316" t="str">
        <f t="shared" ca="1" si="198"/>
        <v/>
      </c>
      <c r="AC446" s="310" t="e">
        <f t="shared" ca="1" si="199"/>
        <v>#N/A</v>
      </c>
      <c r="AD446" s="323" t="e">
        <f t="shared" ca="1" si="200"/>
        <v>#N/A</v>
      </c>
      <c r="AE446" s="324">
        <f t="shared" ca="1" si="179"/>
        <v>1119.5742445868666</v>
      </c>
      <c r="AG446" s="306">
        <f t="shared" ca="1" si="201"/>
        <v>-14.285182135409434</v>
      </c>
      <c r="AH446" s="304">
        <f t="shared" ca="1" si="202"/>
        <v>-4.6007432186899262</v>
      </c>
    </row>
    <row r="447" spans="1:34" x14ac:dyDescent="0.2">
      <c r="A447" s="347">
        <f t="shared" ca="1" si="180"/>
        <v>0.1</v>
      </c>
      <c r="B447" s="304">
        <f t="shared" ca="1" si="181"/>
        <v>8.2999999999999439</v>
      </c>
      <c r="D447" s="306">
        <f t="shared" ca="1" si="182"/>
        <v>-0.72029289490085913</v>
      </c>
      <c r="E447" s="307">
        <f t="shared" ca="1" si="183"/>
        <v>-14.22779518162811</v>
      </c>
      <c r="F447" s="304">
        <f t="shared" ca="1" si="184"/>
        <v>14.24601620049636</v>
      </c>
      <c r="G447" s="306">
        <f t="shared" ca="1" si="185"/>
        <v>17.235212004090542</v>
      </c>
      <c r="H447" s="307">
        <f t="shared" ca="1" si="186"/>
        <v>104.72827061065941</v>
      </c>
      <c r="I447" s="304">
        <f t="shared" ca="1" si="187"/>
        <v>106.13700202062169</v>
      </c>
      <c r="J447" s="306">
        <f t="shared" ca="1" si="188"/>
        <v>141.48857614279845</v>
      </c>
      <c r="K447" s="307">
        <f t="shared" ca="1" si="189"/>
        <v>1130.1182106238407</v>
      </c>
      <c r="L447" s="304">
        <f t="shared" ca="1" si="174"/>
        <v>1138.9408181124022</v>
      </c>
      <c r="M447" s="306">
        <f t="shared" ca="1" si="190"/>
        <v>1.4076875919062817</v>
      </c>
      <c r="N447" s="304">
        <f t="shared" ca="1" si="191"/>
        <v>80.654557889164124</v>
      </c>
      <c r="P447" s="310">
        <f t="shared" ca="1" si="192"/>
        <v>23</v>
      </c>
      <c r="Q447" s="304">
        <f t="shared" ca="1" si="193"/>
        <v>0</v>
      </c>
      <c r="R447" s="306">
        <f t="shared" ca="1" si="194"/>
        <v>0</v>
      </c>
      <c r="S447" s="307">
        <f t="shared" ca="1" si="195"/>
        <v>7.4819999999999904</v>
      </c>
      <c r="T447" s="304">
        <f t="shared" ca="1" si="175"/>
        <v>73.398419999999916</v>
      </c>
      <c r="U447" s="311">
        <f t="shared" ca="1" si="176"/>
        <v>0</v>
      </c>
      <c r="V447" s="306">
        <f t="shared" ca="1" si="177"/>
        <v>1.0939647834229194</v>
      </c>
      <c r="W447" s="304">
        <f t="shared" ca="1" si="178"/>
        <v>32.580059836223121</v>
      </c>
      <c r="Y447" s="314" t="str">
        <f t="shared" ca="1" si="196"/>
        <v/>
      </c>
      <c r="Z447" s="315" t="str">
        <f t="shared" ca="1" si="197"/>
        <v/>
      </c>
      <c r="AA447" s="316" t="str">
        <f t="shared" ca="1" si="198"/>
        <v/>
      </c>
      <c r="AC447" s="310" t="e">
        <f t="shared" ca="1" si="199"/>
        <v>#N/A</v>
      </c>
      <c r="AD447" s="323" t="e">
        <f t="shared" ca="1" si="200"/>
        <v>#N/A</v>
      </c>
      <c r="AE447" s="324">
        <f t="shared" ca="1" si="179"/>
        <v>1130.1182106238407</v>
      </c>
      <c r="AG447" s="306">
        <f t="shared" ca="1" si="201"/>
        <v>-14.158282407915237</v>
      </c>
      <c r="AH447" s="304">
        <f t="shared" ca="1" si="202"/>
        <v>-4.4761295916518318</v>
      </c>
    </row>
    <row r="448" spans="1:34" x14ac:dyDescent="0.2">
      <c r="A448" s="347">
        <f t="shared" ca="1" si="180"/>
        <v>0.1</v>
      </c>
      <c r="B448" s="304">
        <f t="shared" ca="1" si="181"/>
        <v>8.3999999999999435</v>
      </c>
      <c r="D448" s="306">
        <f t="shared" ca="1" si="182"/>
        <v>-0.70710512890602484</v>
      </c>
      <c r="E448" s="307">
        <f t="shared" ca="1" si="183"/>
        <v>-14.106662975348357</v>
      </c>
      <c r="F448" s="304">
        <f t="shared" ca="1" si="184"/>
        <v>14.124373896332163</v>
      </c>
      <c r="G448" s="306">
        <f t="shared" ca="1" si="185"/>
        <v>17.164501491199939</v>
      </c>
      <c r="H448" s="307">
        <f t="shared" ca="1" si="186"/>
        <v>103.31760431312458</v>
      </c>
      <c r="I448" s="304">
        <f t="shared" ca="1" si="187"/>
        <v>104.73369788394174</v>
      </c>
      <c r="J448" s="306">
        <f t="shared" ca="1" si="188"/>
        <v>143.20856181756298</v>
      </c>
      <c r="K448" s="307">
        <f t="shared" ca="1" si="189"/>
        <v>1140.5205043700298</v>
      </c>
      <c r="L448" s="304">
        <f t="shared" ca="1" si="174"/>
        <v>1149.4762777310029</v>
      </c>
      <c r="M448" s="306">
        <f t="shared" ca="1" si="190"/>
        <v>1.406166580220136</v>
      </c>
      <c r="N448" s="304">
        <f t="shared" ca="1" si="191"/>
        <v>80.567410338957899</v>
      </c>
      <c r="P448" s="310">
        <f t="shared" ca="1" si="192"/>
        <v>23</v>
      </c>
      <c r="Q448" s="304">
        <f t="shared" ca="1" si="193"/>
        <v>0</v>
      </c>
      <c r="R448" s="306">
        <f t="shared" ca="1" si="194"/>
        <v>0</v>
      </c>
      <c r="S448" s="307">
        <f t="shared" ca="1" si="195"/>
        <v>7.4819999999999904</v>
      </c>
      <c r="T448" s="304">
        <f t="shared" ca="1" si="175"/>
        <v>73.398419999999916</v>
      </c>
      <c r="U448" s="311">
        <f t="shared" ca="1" si="176"/>
        <v>0</v>
      </c>
      <c r="V448" s="306">
        <f t="shared" ca="1" si="177"/>
        <v>1.0928237257626199</v>
      </c>
      <c r="W448" s="304">
        <f t="shared" ca="1" si="178"/>
        <v>31.691142338957725</v>
      </c>
      <c r="Y448" s="314" t="str">
        <f t="shared" ca="1" si="196"/>
        <v/>
      </c>
      <c r="Z448" s="315" t="str">
        <f t="shared" ca="1" si="197"/>
        <v/>
      </c>
      <c r="AA448" s="316" t="str">
        <f t="shared" ca="1" si="198"/>
        <v/>
      </c>
      <c r="AC448" s="310" t="e">
        <f t="shared" ca="1" si="199"/>
        <v>#N/A</v>
      </c>
      <c r="AD448" s="323" t="e">
        <f t="shared" ca="1" si="200"/>
        <v>#N/A</v>
      </c>
      <c r="AE448" s="324">
        <f t="shared" ca="1" si="179"/>
        <v>1140.5205043700298</v>
      </c>
      <c r="AG448" s="306">
        <f t="shared" ca="1" si="201"/>
        <v>-14.034252861335933</v>
      </c>
      <c r="AH448" s="304">
        <f t="shared" ca="1" si="202"/>
        <v>-4.3544586789926711</v>
      </c>
    </row>
    <row r="449" spans="1:34" x14ac:dyDescent="0.2">
      <c r="A449" s="347">
        <f t="shared" ca="1" si="180"/>
        <v>0.1</v>
      </c>
      <c r="B449" s="304">
        <f t="shared" ca="1" si="181"/>
        <v>8.4999999999999432</v>
      </c>
      <c r="D449" s="306">
        <f t="shared" ca="1" si="182"/>
        <v>-0.69416857178186053</v>
      </c>
      <c r="E449" s="307">
        <f t="shared" ca="1" si="183"/>
        <v>-13.988381403196309</v>
      </c>
      <c r="F449" s="304">
        <f t="shared" ca="1" si="184"/>
        <v>14.005594749504141</v>
      </c>
      <c r="G449" s="306">
        <f t="shared" ca="1" si="185"/>
        <v>17.095084634021752</v>
      </c>
      <c r="H449" s="307">
        <f t="shared" ca="1" si="186"/>
        <v>101.91876617280495</v>
      </c>
      <c r="I449" s="304">
        <f t="shared" ca="1" si="187"/>
        <v>103.34252182345492</v>
      </c>
      <c r="J449" s="306">
        <f t="shared" ca="1" si="188"/>
        <v>144.92154112382406</v>
      </c>
      <c r="K449" s="307">
        <f t="shared" ca="1" si="189"/>
        <v>1150.7823228943264</v>
      </c>
      <c r="L449" s="304">
        <f t="shared" ca="1" si="174"/>
        <v>1159.871634176716</v>
      </c>
      <c r="M449" s="306">
        <f t="shared" ca="1" si="190"/>
        <v>1.4046108478635244</v>
      </c>
      <c r="N449" s="304">
        <f t="shared" ca="1" si="191"/>
        <v>80.478273440872115</v>
      </c>
      <c r="P449" s="310">
        <f t="shared" ca="1" si="192"/>
        <v>23</v>
      </c>
      <c r="Q449" s="304">
        <f t="shared" ca="1" si="193"/>
        <v>0</v>
      </c>
      <c r="R449" s="306">
        <f t="shared" ca="1" si="194"/>
        <v>0</v>
      </c>
      <c r="S449" s="307">
        <f t="shared" ca="1" si="195"/>
        <v>7.4819999999999904</v>
      </c>
      <c r="T449" s="304">
        <f t="shared" ca="1" si="175"/>
        <v>73.398419999999916</v>
      </c>
      <c r="U449" s="311">
        <f t="shared" ca="1" si="176"/>
        <v>0</v>
      </c>
      <c r="V449" s="306">
        <f t="shared" ca="1" si="177"/>
        <v>1.0916991769831952</v>
      </c>
      <c r="W449" s="304">
        <f t="shared" ca="1" si="178"/>
        <v>30.823077406186659</v>
      </c>
      <c r="Y449" s="314" t="str">
        <f t="shared" ca="1" si="196"/>
        <v/>
      </c>
      <c r="Z449" s="315" t="str">
        <f t="shared" ca="1" si="197"/>
        <v/>
      </c>
      <c r="AA449" s="316" t="str">
        <f t="shared" ca="1" si="198"/>
        <v/>
      </c>
      <c r="AC449" s="310" t="e">
        <f t="shared" ca="1" si="199"/>
        <v>#N/A</v>
      </c>
      <c r="AD449" s="323" t="e">
        <f t="shared" ca="1" si="200"/>
        <v>#N/A</v>
      </c>
      <c r="AE449" s="324">
        <f t="shared" ca="1" si="179"/>
        <v>1150.7823228943264</v>
      </c>
      <c r="AG449" s="306">
        <f t="shared" ca="1" si="201"/>
        <v>-13.913011205779446</v>
      </c>
      <c r="AH449" s="304">
        <f t="shared" ca="1" si="202"/>
        <v>-4.2356512080937936</v>
      </c>
    </row>
    <row r="450" spans="1:34" x14ac:dyDescent="0.2">
      <c r="A450" s="347">
        <f t="shared" ca="1" si="180"/>
        <v>0.1</v>
      </c>
      <c r="B450" s="304">
        <f t="shared" ca="1" si="181"/>
        <v>8.5999999999999428</v>
      </c>
      <c r="D450" s="306">
        <f t="shared" ca="1" si="182"/>
        <v>-0.68147588618183452</v>
      </c>
      <c r="E450" s="307">
        <f t="shared" ca="1" si="183"/>
        <v>-13.872874386590944</v>
      </c>
      <c r="F450" s="304">
        <f t="shared" ca="1" si="184"/>
        <v>13.889602338784877</v>
      </c>
      <c r="G450" s="306">
        <f t="shared" ca="1" si="185"/>
        <v>17.026937045403567</v>
      </c>
      <c r="H450" s="307">
        <f t="shared" ca="1" si="186"/>
        <v>100.53147873414585</v>
      </c>
      <c r="I450" s="304">
        <f t="shared" ca="1" si="187"/>
        <v>101.96320317458724</v>
      </c>
      <c r="J450" s="306">
        <f t="shared" ca="1" si="188"/>
        <v>146.62764220779533</v>
      </c>
      <c r="K450" s="307">
        <f t="shared" ca="1" si="189"/>
        <v>1160.9048351396739</v>
      </c>
      <c r="L450" s="304">
        <f t="shared" ca="1" si="174"/>
        <v>1170.1280706444447</v>
      </c>
      <c r="M450" s="306">
        <f t="shared" ca="1" si="190"/>
        <v>1.4030193065362839</v>
      </c>
      <c r="N450" s="304">
        <f t="shared" ca="1" si="191"/>
        <v>80.387084839900581</v>
      </c>
      <c r="P450" s="310">
        <f t="shared" ca="1" si="192"/>
        <v>23</v>
      </c>
      <c r="Q450" s="304">
        <f t="shared" ca="1" si="193"/>
        <v>0</v>
      </c>
      <c r="R450" s="306">
        <f t="shared" ca="1" si="194"/>
        <v>0</v>
      </c>
      <c r="S450" s="307">
        <f t="shared" ca="1" si="195"/>
        <v>7.4819999999999904</v>
      </c>
      <c r="T450" s="304">
        <f t="shared" ca="1" si="175"/>
        <v>73.398419999999916</v>
      </c>
      <c r="U450" s="311">
        <f t="shared" ca="1" si="176"/>
        <v>0</v>
      </c>
      <c r="V450" s="306">
        <f t="shared" ca="1" si="177"/>
        <v>1.0905909627565118</v>
      </c>
      <c r="W450" s="304">
        <f t="shared" ca="1" si="178"/>
        <v>29.975313841806539</v>
      </c>
      <c r="Y450" s="314" t="str">
        <f t="shared" ca="1" si="196"/>
        <v/>
      </c>
      <c r="Z450" s="315" t="str">
        <f t="shared" ca="1" si="197"/>
        <v/>
      </c>
      <c r="AA450" s="316" t="str">
        <f t="shared" ca="1" si="198"/>
        <v/>
      </c>
      <c r="AC450" s="310" t="e">
        <f t="shared" ca="1" si="199"/>
        <v>#N/A</v>
      </c>
      <c r="AD450" s="323" t="e">
        <f t="shared" ca="1" si="200"/>
        <v>#N/A</v>
      </c>
      <c r="AE450" s="324">
        <f t="shared" ca="1" si="179"/>
        <v>1160.9048351396739</v>
      </c>
      <c r="AG450" s="306">
        <f t="shared" ca="1" si="201"/>
        <v>-13.79447785430791</v>
      </c>
      <c r="AH450" s="304">
        <f t="shared" ca="1" si="202"/>
        <v>-4.1196307680014295</v>
      </c>
    </row>
    <row r="451" spans="1:34" x14ac:dyDescent="0.2">
      <c r="A451" s="347">
        <f t="shared" ca="1" si="180"/>
        <v>0.1</v>
      </c>
      <c r="B451" s="304">
        <f t="shared" ca="1" si="181"/>
        <v>8.6999999999999424</v>
      </c>
      <c r="D451" s="306">
        <f t="shared" ca="1" si="182"/>
        <v>-0.66901999068156159</v>
      </c>
      <c r="E451" s="307">
        <f t="shared" ca="1" si="183"/>
        <v>-13.760068575843949</v>
      </c>
      <c r="F451" s="304">
        <f t="shared" ca="1" si="184"/>
        <v>13.776322984013538</v>
      </c>
      <c r="G451" s="306">
        <f t="shared" ca="1" si="185"/>
        <v>16.96003504633541</v>
      </c>
      <c r="H451" s="307">
        <f t="shared" ca="1" si="186"/>
        <v>99.15547187656145</v>
      </c>
      <c r="I451" s="304">
        <f t="shared" ca="1" si="187"/>
        <v>100.595478983086</v>
      </c>
      <c r="J451" s="306">
        <f t="shared" ca="1" si="188"/>
        <v>148.32699081238229</v>
      </c>
      <c r="K451" s="307">
        <f t="shared" ca="1" si="189"/>
        <v>1170.8891826702093</v>
      </c>
      <c r="L451" s="304">
        <f t="shared" ca="1" si="174"/>
        <v>1180.2467429726578</v>
      </c>
      <c r="M451" s="306">
        <f t="shared" ca="1" si="190"/>
        <v>1.4013908214096633</v>
      </c>
      <c r="N451" s="304">
        <f t="shared" ca="1" si="191"/>
        <v>80.293779515145403</v>
      </c>
      <c r="P451" s="310">
        <f t="shared" ca="1" si="192"/>
        <v>23</v>
      </c>
      <c r="Q451" s="304">
        <f t="shared" ca="1" si="193"/>
        <v>0</v>
      </c>
      <c r="R451" s="306">
        <f t="shared" ca="1" si="194"/>
        <v>0</v>
      </c>
      <c r="S451" s="307">
        <f t="shared" ca="1" si="195"/>
        <v>7.4819999999999904</v>
      </c>
      <c r="T451" s="304">
        <f t="shared" ca="1" si="175"/>
        <v>73.398419999999916</v>
      </c>
      <c r="U451" s="311">
        <f t="shared" ca="1" si="176"/>
        <v>0</v>
      </c>
      <c r="V451" s="306">
        <f t="shared" ca="1" si="177"/>
        <v>1.089498912974793</v>
      </c>
      <c r="W451" s="304">
        <f t="shared" ca="1" si="178"/>
        <v>29.147320104625482</v>
      </c>
      <c r="Y451" s="314" t="str">
        <f t="shared" ca="1" si="196"/>
        <v/>
      </c>
      <c r="Z451" s="315" t="str">
        <f t="shared" ca="1" si="197"/>
        <v/>
      </c>
      <c r="AA451" s="316" t="str">
        <f t="shared" ca="1" si="198"/>
        <v/>
      </c>
      <c r="AC451" s="310" t="e">
        <f t="shared" ca="1" si="199"/>
        <v>#N/A</v>
      </c>
      <c r="AD451" s="323" t="e">
        <f t="shared" ca="1" si="200"/>
        <v>#N/A</v>
      </c>
      <c r="AE451" s="324">
        <f t="shared" ca="1" si="179"/>
        <v>1170.8891826702093</v>
      </c>
      <c r="AG451" s="306">
        <f t="shared" ca="1" si="201"/>
        <v>-13.678575792565002</v>
      </c>
      <c r="AH451" s="304">
        <f t="shared" ca="1" si="202"/>
        <v>-4.006323689094704</v>
      </c>
    </row>
    <row r="452" spans="1:34" x14ac:dyDescent="0.2">
      <c r="A452" s="347">
        <f t="shared" ca="1" si="180"/>
        <v>0.1</v>
      </c>
      <c r="B452" s="304">
        <f t="shared" ca="1" si="181"/>
        <v>8.7999999999999421</v>
      </c>
      <c r="D452" s="306">
        <f t="shared" ca="1" si="182"/>
        <v>-0.65679404907092587</v>
      </c>
      <c r="E452" s="307">
        <f t="shared" ca="1" si="183"/>
        <v>-13.649893236271158</v>
      </c>
      <c r="F452" s="304">
        <f t="shared" ca="1" si="184"/>
        <v>13.665685631701619</v>
      </c>
      <c r="G452" s="306">
        <f t="shared" ca="1" si="185"/>
        <v>16.894355641428316</v>
      </c>
      <c r="H452" s="307">
        <f t="shared" ca="1" si="186"/>
        <v>97.790482552934336</v>
      </c>
      <c r="I452" s="304">
        <f t="shared" ca="1" si="187"/>
        <v>99.239093760850196</v>
      </c>
      <c r="J452" s="306">
        <f t="shared" ca="1" si="188"/>
        <v>150.01971034677047</v>
      </c>
      <c r="K452" s="307">
        <f t="shared" ca="1" si="189"/>
        <v>1180.7364803916842</v>
      </c>
      <c r="L452" s="304">
        <f t="shared" ref="L452:L515" ca="1" si="203">SQRT(pos_x^2+pos_z^2)</f>
        <v>1190.2287803696695</v>
      </c>
      <c r="M452" s="306">
        <f t="shared" ca="1" si="190"/>
        <v>1.3997242086548134</v>
      </c>
      <c r="N452" s="304">
        <f t="shared" ca="1" si="191"/>
        <v>80.198289638209829</v>
      </c>
      <c r="P452" s="310">
        <f t="shared" ca="1" si="192"/>
        <v>23</v>
      </c>
      <c r="Q452" s="304">
        <f t="shared" ca="1" si="193"/>
        <v>0</v>
      </c>
      <c r="R452" s="306">
        <f t="shared" ca="1" si="194"/>
        <v>0</v>
      </c>
      <c r="S452" s="307">
        <f t="shared" ca="1" si="195"/>
        <v>7.4819999999999904</v>
      </c>
      <c r="T452" s="304">
        <f t="shared" ref="T452:T515" ca="1" si="204">m*g</f>
        <v>73.398419999999916</v>
      </c>
      <c r="U452" s="311">
        <f t="shared" ref="U452:U515" ca="1" si="205">IF(pos_xz&lt;L_rampe,Poids*COS(Beta),0)</f>
        <v>0</v>
      </c>
      <c r="V452" s="306">
        <f t="shared" ref="V452:V515" ca="1" si="206">Rho_moyen*(20000-Alt_rampe-pos_z)/(20000+Alt_rampe+pos_z)</f>
        <v>1.0884228616347846</v>
      </c>
      <c r="W452" s="304">
        <f t="shared" ref="W452:W515" ca="1" si="207">1/2*Rho*Sref*Cx*vit_xz^2</f>
        <v>28.338583494704888</v>
      </c>
      <c r="Y452" s="314" t="str">
        <f t="shared" ca="1" si="196"/>
        <v/>
      </c>
      <c r="Z452" s="315" t="str">
        <f t="shared" ca="1" si="197"/>
        <v/>
      </c>
      <c r="AA452" s="316" t="str">
        <f t="shared" ca="1" si="198"/>
        <v/>
      </c>
      <c r="AC452" s="310" t="e">
        <f t="shared" ca="1" si="199"/>
        <v>#N/A</v>
      </c>
      <c r="AD452" s="323" t="e">
        <f t="shared" ca="1" si="200"/>
        <v>#N/A</v>
      </c>
      <c r="AE452" s="324">
        <f t="shared" ref="AE452:AE515" ca="1" si="208">IF(t&lt;T_para, pos_z, NA())</f>
        <v>1180.7364803916842</v>
      </c>
      <c r="AG452" s="306">
        <f t="shared" ca="1" si="201"/>
        <v>-13.565230453617712</v>
      </c>
      <c r="AH452" s="304">
        <f t="shared" ca="1" si="202"/>
        <v>-3.895658928712312</v>
      </c>
    </row>
    <row r="453" spans="1:34" x14ac:dyDescent="0.2">
      <c r="A453" s="347">
        <f t="shared" ref="A453:A516" ca="1" si="209">IF(B452+0.01&lt;=T_ini+ROUNDUP(Temps_fin_propu,0), 0.01, IF(K452&gt;0, 0.1, 0.0001))</f>
        <v>0.1</v>
      </c>
      <c r="B453" s="304">
        <f t="shared" ref="B453:B516" ca="1" si="210">B452+pas</f>
        <v>8.8999999999999417</v>
      </c>
      <c r="D453" s="306">
        <f t="shared" ref="D453:D516" ca="1" si="211">IF(AND(L452&lt;L_rampe,Poussee&lt;Poids*SIN(M452)),0,(-W452+Poussee)/m*COS(M452)-U452/m*SIN(M452))</f>
        <v>-0.64479146017930067</v>
      </c>
      <c r="E453" s="307">
        <f t="shared" ref="E453:E516" ca="1" si="212">IF(AND(L452&lt;L_rampe,Poussee&lt;Poids*SIN(M452)),0,(-W452+Poussee)/m*SIN(M452)+U452/m*COS(M452)-Poids/m)</f>
        <v>-13.542280139902044</v>
      </c>
      <c r="F453" s="304">
        <f t="shared" ref="F453:F516" ca="1" si="213">SQRT(acc_x^2+acc_z^2)</f>
        <v>13.557621746261601</v>
      </c>
      <c r="G453" s="306">
        <f t="shared" ref="G453:G516" ca="1" si="214">G452+acc_x*pas</f>
        <v>16.829876495410385</v>
      </c>
      <c r="H453" s="307">
        <f t="shared" ref="H453:H516" ca="1" si="215">H452+acc_z*pas</f>
        <v>96.436254538944127</v>
      </c>
      <c r="I453" s="304">
        <f t="shared" ref="I453:I516" ca="1" si="216">SQRT(vit_x^2+vit_z^2)</f>
        <v>97.893799253838282</v>
      </c>
      <c r="J453" s="306">
        <f t="shared" ref="J453:J516" ca="1" si="217">J452+0.5*(vit_x+G452)*pas*(K452&gt;=0)</f>
        <v>151.7059219536124</v>
      </c>
      <c r="K453" s="307">
        <f t="shared" ref="K453:K516" ca="1" si="218">K452+0.5*(vit_z+H452)*pas</f>
        <v>1190.4478172462782</v>
      </c>
      <c r="L453" s="304">
        <f t="shared" ca="1" si="203"/>
        <v>1200.0752861142603</v>
      </c>
      <c r="M453" s="306">
        <f t="shared" ref="M453:M516" ca="1" si="219">IF(AND(L452&gt;L_rampe,G453&gt;0),ATAN2(G453,H453),$M$4)</f>
        <v>1.3980182328132833</v>
      </c>
      <c r="N453" s="304">
        <f t="shared" ref="N453:N516" ca="1" si="220">DEGREES(Beta)</f>
        <v>80.100544422538874</v>
      </c>
      <c r="P453" s="310">
        <f t="shared" ref="P453:P516" ca="1" si="221">MATCH(t-pas/2-T_ini,CdP_t)</f>
        <v>23</v>
      </c>
      <c r="Q453" s="304">
        <f t="shared" ref="Q453:Q516" ca="1" si="222">(INDEX(CdP,2,i_P+1)-INDEX(CdP,2,i_P+0))/(INDEX(CdP,1,i_P+1)-INDEX(CdP,1,i_P+0))*(t-pas/2-T_ini-INDEX(CdP,1,i_P+0))+INDEX(CdP,2,i_P+0)</f>
        <v>0</v>
      </c>
      <c r="R453" s="306">
        <f t="shared" ref="R453:R516" ca="1" si="223">Poussee/(g*ISP)</f>
        <v>0</v>
      </c>
      <c r="S453" s="307">
        <f t="shared" ref="S453:S516" ca="1" si="224">S452-Débit*pas</f>
        <v>7.4819999999999904</v>
      </c>
      <c r="T453" s="304">
        <f t="shared" ca="1" si="204"/>
        <v>73.398419999999916</v>
      </c>
      <c r="U453" s="311">
        <f t="shared" ca="1" si="205"/>
        <v>0</v>
      </c>
      <c r="V453" s="306">
        <f t="shared" ca="1" si="206"/>
        <v>1.0873626467261517</v>
      </c>
      <c r="W453" s="304">
        <f t="shared" ca="1" si="207"/>
        <v>27.548609379440869</v>
      </c>
      <c r="Y453" s="314" t="str">
        <f t="shared" ref="Y453:Y516" ca="1" si="225">IF(AND(pos_z&lt;=0,K452&gt;0),"Impact balistique","") &amp; IF(AND(H454&lt;0,vit_z&gt;=0),"Apogée","") &amp; IF(AND(Poussee=0,Q452&gt;0),"Fin de propulsion","") &amp; IF(AND(L454&gt;L_rampe,pos_xz&lt;=L_rampe),"Sortie de rampe","")</f>
        <v/>
      </c>
      <c r="Z453" s="315" t="str">
        <f t="shared" ref="Z453:Z516" ca="1" si="226">IF(ABS(t-T_para)&lt;pas/2,"Para","")</f>
        <v/>
      </c>
      <c r="AA453" s="316" t="str">
        <f t="shared" ref="AA453:AA516" ca="1" si="227">IF(ABS(t-T_satellite)&lt;pas/2,"Satellite","")</f>
        <v/>
      </c>
      <c r="AC453" s="310" t="e">
        <f t="shared" ref="AC453:AC516" ca="1" si="228">IF(ABS(t-ROUND(t,0))&lt;0.001,t,NA())</f>
        <v>#N/A</v>
      </c>
      <c r="AD453" s="323" t="e">
        <f t="shared" ref="AD453:AD516" ca="1" si="229">IF(ABS(t-ROUND(t,0))&lt;0.001,pos_x,NA())</f>
        <v>#N/A</v>
      </c>
      <c r="AE453" s="324">
        <f t="shared" ca="1" si="208"/>
        <v>1190.4478172462782</v>
      </c>
      <c r="AG453" s="306">
        <f t="shared" ref="AG453:AG516" ca="1" si="230">IF(AND(L452&lt;L_rampe,Poussee&lt;Poids*SIN(M452)),0,(-W452+Poussee)/m-Poids*SIN(M452)/m)</f>
        <v>-13.454369597615178</v>
      </c>
      <c r="AH453" s="304">
        <f t="shared" ref="AH453:AH516" ca="1" si="231">IF(AND(L452&lt;L_rampe,Poussee&lt;Poids*SIN(M452)), g*SIN(M452), (-W452+Poussee)/m)</f>
        <v>-3.787567962403759</v>
      </c>
    </row>
    <row r="454" spans="1:34" x14ac:dyDescent="0.2">
      <c r="A454" s="347">
        <f t="shared" ca="1" si="209"/>
        <v>0.1</v>
      </c>
      <c r="B454" s="304">
        <f t="shared" ca="1" si="210"/>
        <v>8.9999999999999414</v>
      </c>
      <c r="D454" s="306">
        <f t="shared" ca="1" si="211"/>
        <v>-0.63300584820486672</v>
      </c>
      <c r="E454" s="307">
        <f t="shared" ca="1" si="212"/>
        <v>-13.437163462475324</v>
      </c>
      <c r="F454" s="304">
        <f t="shared" ca="1" si="213"/>
        <v>13.452065206545178</v>
      </c>
      <c r="G454" s="306">
        <f t="shared" ca="1" si="214"/>
        <v>16.7665759105899</v>
      </c>
      <c r="H454" s="307">
        <f t="shared" ca="1" si="215"/>
        <v>95.092538192696594</v>
      </c>
      <c r="I454" s="304">
        <f t="shared" ca="1" si="216"/>
        <v>96.559354221613532</v>
      </c>
      <c r="J454" s="306">
        <f t="shared" ca="1" si="217"/>
        <v>153.3857445739124</v>
      </c>
      <c r="K454" s="307">
        <f t="shared" ca="1" si="218"/>
        <v>1200.0242568828603</v>
      </c>
      <c r="L454" s="304">
        <f t="shared" ca="1" si="203"/>
        <v>1209.7873382317052</v>
      </c>
      <c r="M454" s="306">
        <f t="shared" ca="1" si="219"/>
        <v>1.3962716039977527</v>
      </c>
      <c r="N454" s="304">
        <f t="shared" ca="1" si="220"/>
        <v>80.000469963033041</v>
      </c>
      <c r="P454" s="310">
        <f t="shared" ca="1" si="221"/>
        <v>23</v>
      </c>
      <c r="Q454" s="304">
        <f t="shared" ca="1" si="222"/>
        <v>0</v>
      </c>
      <c r="R454" s="306">
        <f t="shared" ca="1" si="223"/>
        <v>0</v>
      </c>
      <c r="S454" s="307">
        <f t="shared" ca="1" si="224"/>
        <v>7.4819999999999904</v>
      </c>
      <c r="T454" s="304">
        <f t="shared" ca="1" si="204"/>
        <v>73.398419999999916</v>
      </c>
      <c r="U454" s="311">
        <f t="shared" ca="1" si="205"/>
        <v>0</v>
      </c>
      <c r="V454" s="306">
        <f t="shared" ca="1" si="206"/>
        <v>1.0863181101239316</v>
      </c>
      <c r="W454" s="304">
        <f t="shared" ca="1" si="207"/>
        <v>26.776920457189178</v>
      </c>
      <c r="Y454" s="314" t="str">
        <f t="shared" ca="1" si="225"/>
        <v/>
      </c>
      <c r="Z454" s="315" t="str">
        <f t="shared" ca="1" si="226"/>
        <v/>
      </c>
      <c r="AA454" s="316" t="str">
        <f t="shared" ca="1" si="227"/>
        <v/>
      </c>
      <c r="AC454" s="310">
        <f t="shared" ca="1" si="228"/>
        <v>8.9999999999999414</v>
      </c>
      <c r="AD454" s="323">
        <f t="shared" ca="1" si="229"/>
        <v>153.3857445739124</v>
      </c>
      <c r="AE454" s="324">
        <f t="shared" ca="1" si="208"/>
        <v>1200.0242568828603</v>
      </c>
      <c r="AG454" s="306">
        <f t="shared" ca="1" si="230"/>
        <v>-13.345923195882145</v>
      </c>
      <c r="AH454" s="304">
        <f t="shared" ca="1" si="231"/>
        <v>-3.681984680491968</v>
      </c>
    </row>
    <row r="455" spans="1:34" x14ac:dyDescent="0.2">
      <c r="A455" s="347">
        <f t="shared" ca="1" si="209"/>
        <v>0.1</v>
      </c>
      <c r="B455" s="304">
        <f t="shared" ca="1" si="210"/>
        <v>9.099999999999941</v>
      </c>
      <c r="D455" s="306">
        <f t="shared" ca="1" si="211"/>
        <v>-0.62143105352091332</v>
      </c>
      <c r="E455" s="307">
        <f t="shared" ca="1" si="212"/>
        <v>-13.334479685428274</v>
      </c>
      <c r="F455" s="304">
        <f t="shared" ca="1" si="213"/>
        <v>13.348952207397382</v>
      </c>
      <c r="G455" s="306">
        <f t="shared" ca="1" si="214"/>
        <v>16.704432805237808</v>
      </c>
      <c r="H455" s="307">
        <f t="shared" ca="1" si="215"/>
        <v>93.759090224153766</v>
      </c>
      <c r="I455" s="304">
        <f t="shared" ca="1" si="216"/>
        <v>95.235524228124618</v>
      </c>
      <c r="J455" s="306">
        <f t="shared" ca="1" si="217"/>
        <v>155.05929500970379</v>
      </c>
      <c r="K455" s="307">
        <f t="shared" ca="1" si="218"/>
        <v>1209.4668383037028</v>
      </c>
      <c r="L455" s="304">
        <f t="shared" ca="1" si="203"/>
        <v>1219.3659901462161</v>
      </c>
      <c r="M455" s="306">
        <f t="shared" ca="1" si="219"/>
        <v>1.3944829749102308</v>
      </c>
      <c r="N455" s="304">
        <f t="shared" ca="1" si="220"/>
        <v>79.897989065203689</v>
      </c>
      <c r="P455" s="310">
        <f t="shared" ca="1" si="221"/>
        <v>23</v>
      </c>
      <c r="Q455" s="304">
        <f t="shared" ca="1" si="222"/>
        <v>0</v>
      </c>
      <c r="R455" s="306">
        <f t="shared" ca="1" si="223"/>
        <v>0</v>
      </c>
      <c r="S455" s="307">
        <f t="shared" ca="1" si="224"/>
        <v>7.4819999999999904</v>
      </c>
      <c r="T455" s="304">
        <f t="shared" ca="1" si="204"/>
        <v>73.398419999999916</v>
      </c>
      <c r="U455" s="311">
        <f t="shared" ca="1" si="205"/>
        <v>0</v>
      </c>
      <c r="V455" s="306">
        <f t="shared" ca="1" si="206"/>
        <v>1.0852890974848728</v>
      </c>
      <c r="W455" s="304">
        <f t="shared" ca="1" si="207"/>
        <v>26.023056056373381</v>
      </c>
      <c r="Y455" s="314" t="str">
        <f t="shared" ca="1" si="225"/>
        <v/>
      </c>
      <c r="Z455" s="315" t="str">
        <f t="shared" ca="1" si="226"/>
        <v/>
      </c>
      <c r="AA455" s="316" t="str">
        <f t="shared" ca="1" si="227"/>
        <v/>
      </c>
      <c r="AC455" s="310" t="e">
        <f t="shared" ca="1" si="228"/>
        <v>#N/A</v>
      </c>
      <c r="AD455" s="323" t="e">
        <f t="shared" ca="1" si="229"/>
        <v>#N/A</v>
      </c>
      <c r="AE455" s="324">
        <f t="shared" ca="1" si="208"/>
        <v>1209.4668383037028</v>
      </c>
      <c r="AG455" s="306">
        <f t="shared" ca="1" si="230"/>
        <v>-13.23982331907748</v>
      </c>
      <c r="AH455" s="304">
        <f t="shared" ca="1" si="231"/>
        <v>-3.5788452896537306</v>
      </c>
    </row>
    <row r="456" spans="1:34" x14ac:dyDescent="0.2">
      <c r="A456" s="347">
        <f t="shared" ca="1" si="209"/>
        <v>0.1</v>
      </c>
      <c r="B456" s="304">
        <f t="shared" ca="1" si="210"/>
        <v>9.1999999999999407</v>
      </c>
      <c r="D456" s="306">
        <f t="shared" ca="1" si="211"/>
        <v>-0.61006112393373224</v>
      </c>
      <c r="E456" s="307">
        <f t="shared" ca="1" si="212"/>
        <v>-13.234167502605434</v>
      </c>
      <c r="F456" s="304">
        <f t="shared" ca="1" si="213"/>
        <v>13.248221165951035</v>
      </c>
      <c r="G456" s="306">
        <f t="shared" ca="1" si="214"/>
        <v>16.643426692844436</v>
      </c>
      <c r="H456" s="307">
        <f t="shared" ca="1" si="215"/>
        <v>92.435673473893218</v>
      </c>
      <c r="I456" s="304">
        <f t="shared" ca="1" si="216"/>
        <v>93.922081443355438</v>
      </c>
      <c r="J456" s="306">
        <f t="shared" ca="1" si="217"/>
        <v>156.72668798460791</v>
      </c>
      <c r="K456" s="307">
        <f t="shared" ca="1" si="218"/>
        <v>1218.7765764886051</v>
      </c>
      <c r="L456" s="304">
        <f t="shared" ca="1" si="203"/>
        <v>1228.8122713107603</v>
      </c>
      <c r="M456" s="306">
        <f t="shared" ca="1" si="219"/>
        <v>1.3926509376638498</v>
      </c>
      <c r="N456" s="304">
        <f t="shared" ca="1" si="220"/>
        <v>79.793021063075301</v>
      </c>
      <c r="P456" s="310">
        <f t="shared" ca="1" si="221"/>
        <v>23</v>
      </c>
      <c r="Q456" s="304">
        <f t="shared" ca="1" si="222"/>
        <v>0</v>
      </c>
      <c r="R456" s="306">
        <f t="shared" ca="1" si="223"/>
        <v>0</v>
      </c>
      <c r="S456" s="307">
        <f t="shared" ca="1" si="224"/>
        <v>7.4819999999999904</v>
      </c>
      <c r="T456" s="304">
        <f t="shared" ca="1" si="204"/>
        <v>73.398419999999916</v>
      </c>
      <c r="U456" s="311">
        <f t="shared" ca="1" si="205"/>
        <v>0</v>
      </c>
      <c r="V456" s="306">
        <f t="shared" ca="1" si="206"/>
        <v>1.0842754581474923</v>
      </c>
      <c r="W456" s="304">
        <f t="shared" ca="1" si="207"/>
        <v>25.286571468143148</v>
      </c>
      <c r="Y456" s="314" t="str">
        <f t="shared" ca="1" si="225"/>
        <v/>
      </c>
      <c r="Z456" s="315" t="str">
        <f t="shared" ca="1" si="226"/>
        <v/>
      </c>
      <c r="AA456" s="316" t="str">
        <f t="shared" ca="1" si="227"/>
        <v/>
      </c>
      <c r="AC456" s="310" t="e">
        <f t="shared" ca="1" si="228"/>
        <v>#N/A</v>
      </c>
      <c r="AD456" s="323" t="e">
        <f t="shared" ca="1" si="229"/>
        <v>#N/A</v>
      </c>
      <c r="AE456" s="324">
        <f t="shared" ca="1" si="208"/>
        <v>1218.7765764886051</v>
      </c>
      <c r="AG456" s="306">
        <f t="shared" ca="1" si="230"/>
        <v>-13.136004029058942</v>
      </c>
      <c r="AH456" s="304">
        <f t="shared" ca="1" si="231"/>
        <v>-3.4780882192426374</v>
      </c>
    </row>
    <row r="457" spans="1:34" x14ac:dyDescent="0.2">
      <c r="A457" s="347">
        <f t="shared" ca="1" si="209"/>
        <v>0.1</v>
      </c>
      <c r="B457" s="304">
        <f t="shared" ca="1" si="210"/>
        <v>9.2999999999999403</v>
      </c>
      <c r="D457" s="306">
        <f t="shared" ca="1" si="211"/>
        <v>-0.5988903063683888</v>
      </c>
      <c r="E457" s="307">
        <f t="shared" ca="1" si="212"/>
        <v>-13.136167731429303</v>
      </c>
      <c r="F457" s="304">
        <f t="shared" ca="1" si="213"/>
        <v>13.149812632403037</v>
      </c>
      <c r="G457" s="306">
        <f t="shared" ca="1" si="214"/>
        <v>16.583537662207597</v>
      </c>
      <c r="H457" s="307">
        <f t="shared" ca="1" si="215"/>
        <v>91.122056700750292</v>
      </c>
      <c r="I457" s="304">
        <f t="shared" ca="1" si="216"/>
        <v>92.618804455513299</v>
      </c>
      <c r="J457" s="306">
        <f t="shared" ca="1" si="217"/>
        <v>158.3880362023605</v>
      </c>
      <c r="K457" s="307">
        <f t="shared" ca="1" si="218"/>
        <v>1227.9544629973373</v>
      </c>
      <c r="L457" s="304">
        <f t="shared" ca="1" si="203"/>
        <v>1238.1271878151772</v>
      </c>
      <c r="M457" s="306">
        <f t="shared" ca="1" si="219"/>
        <v>1.3907740203931844</v>
      </c>
      <c r="N457" s="304">
        <f t="shared" ca="1" si="220"/>
        <v>79.685481624970947</v>
      </c>
      <c r="P457" s="310">
        <f t="shared" ca="1" si="221"/>
        <v>23</v>
      </c>
      <c r="Q457" s="304">
        <f t="shared" ca="1" si="222"/>
        <v>0</v>
      </c>
      <c r="R457" s="306">
        <f t="shared" ca="1" si="223"/>
        <v>0</v>
      </c>
      <c r="S457" s="307">
        <f t="shared" ca="1" si="224"/>
        <v>7.4819999999999904</v>
      </c>
      <c r="T457" s="304">
        <f t="shared" ca="1" si="204"/>
        <v>73.398419999999916</v>
      </c>
      <c r="U457" s="311">
        <f t="shared" ca="1" si="205"/>
        <v>0</v>
      </c>
      <c r="V457" s="306">
        <f t="shared" ca="1" si="206"/>
        <v>1.083277045035705</v>
      </c>
      <c r="W457" s="304">
        <f t="shared" ca="1" si="207"/>
        <v>24.567037310768015</v>
      </c>
      <c r="Y457" s="314" t="str">
        <f t="shared" ca="1" si="225"/>
        <v/>
      </c>
      <c r="Z457" s="315" t="str">
        <f t="shared" ca="1" si="226"/>
        <v/>
      </c>
      <c r="AA457" s="316" t="str">
        <f t="shared" ca="1" si="227"/>
        <v/>
      </c>
      <c r="AC457" s="310" t="e">
        <f t="shared" ca="1" si="228"/>
        <v>#N/A</v>
      </c>
      <c r="AD457" s="323" t="e">
        <f t="shared" ca="1" si="229"/>
        <v>#N/A</v>
      </c>
      <c r="AE457" s="324">
        <f t="shared" ca="1" si="208"/>
        <v>1227.9544629973373</v>
      </c>
      <c r="AG457" s="306">
        <f t="shared" ca="1" si="230"/>
        <v>-13.034401274104184</v>
      </c>
      <c r="AH457" s="304">
        <f t="shared" ca="1" si="231"/>
        <v>-3.3796540320961213</v>
      </c>
    </row>
    <row r="458" spans="1:34" x14ac:dyDescent="0.2">
      <c r="A458" s="347">
        <f t="shared" ca="1" si="209"/>
        <v>0.1</v>
      </c>
      <c r="B458" s="304">
        <f t="shared" ca="1" si="210"/>
        <v>9.39999999999994</v>
      </c>
      <c r="D458" s="306">
        <f t="shared" ca="1" si="211"/>
        <v>-0.58791303896017455</v>
      </c>
      <c r="E458" s="307">
        <f t="shared" ca="1" si="212"/>
        <v>-13.040423228291328</v>
      </c>
      <c r="F458" s="304">
        <f t="shared" ca="1" si="213"/>
        <v>13.053669205029649</v>
      </c>
      <c r="G458" s="306">
        <f t="shared" ca="1" si="214"/>
        <v>16.524746358311578</v>
      </c>
      <c r="H458" s="307">
        <f t="shared" ca="1" si="215"/>
        <v>89.818014377921159</v>
      </c>
      <c r="I458" s="304">
        <f t="shared" ca="1" si="216"/>
        <v>91.325478093459679</v>
      </c>
      <c r="J458" s="306">
        <f t="shared" ca="1" si="217"/>
        <v>160.04345040338646</v>
      </c>
      <c r="K458" s="307">
        <f t="shared" ca="1" si="218"/>
        <v>1237.0014665512708</v>
      </c>
      <c r="L458" s="304">
        <f t="shared" ca="1" si="203"/>
        <v>1247.3117229734578</v>
      </c>
      <c r="M458" s="306">
        <f t="shared" ca="1" si="219"/>
        <v>1.3888506836367074</v>
      </c>
      <c r="N458" s="304">
        <f t="shared" ca="1" si="220"/>
        <v>79.575282546242434</v>
      </c>
      <c r="P458" s="310">
        <f t="shared" ca="1" si="221"/>
        <v>23</v>
      </c>
      <c r="Q458" s="304">
        <f t="shared" ca="1" si="222"/>
        <v>0</v>
      </c>
      <c r="R458" s="306">
        <f t="shared" ca="1" si="223"/>
        <v>0</v>
      </c>
      <c r="S458" s="307">
        <f t="shared" ca="1" si="224"/>
        <v>7.4819999999999904</v>
      </c>
      <c r="T458" s="304">
        <f t="shared" ca="1" si="204"/>
        <v>73.398419999999916</v>
      </c>
      <c r="U458" s="311">
        <f t="shared" ca="1" si="205"/>
        <v>0</v>
      </c>
      <c r="V458" s="306">
        <f t="shared" ca="1" si="206"/>
        <v>1.0822937145658742</v>
      </c>
      <c r="W458" s="304">
        <f t="shared" ca="1" si="207"/>
        <v>23.864038924061838</v>
      </c>
      <c r="Y458" s="314" t="str">
        <f t="shared" ca="1" si="225"/>
        <v/>
      </c>
      <c r="Z458" s="315" t="str">
        <f t="shared" ca="1" si="226"/>
        <v/>
      </c>
      <c r="AA458" s="316" t="str">
        <f t="shared" ca="1" si="227"/>
        <v/>
      </c>
      <c r="AC458" s="310" t="e">
        <f t="shared" ca="1" si="228"/>
        <v>#N/A</v>
      </c>
      <c r="AD458" s="323" t="e">
        <f t="shared" ca="1" si="229"/>
        <v>#N/A</v>
      </c>
      <c r="AE458" s="324">
        <f t="shared" ca="1" si="208"/>
        <v>1237.0014665512708</v>
      </c>
      <c r="AG458" s="306">
        <f t="shared" ca="1" si="230"/>
        <v>-12.934952787144603</v>
      </c>
      <c r="AH458" s="304">
        <f t="shared" ca="1" si="231"/>
        <v>-3.2834853395840744</v>
      </c>
    </row>
    <row r="459" spans="1:34" x14ac:dyDescent="0.2">
      <c r="A459" s="347">
        <f t="shared" ca="1" si="209"/>
        <v>0.1</v>
      </c>
      <c r="B459" s="304">
        <f t="shared" ca="1" si="210"/>
        <v>9.4999999999999396</v>
      </c>
      <c r="D459" s="306">
        <f t="shared" ca="1" si="211"/>
        <v>-0.57712394353097118</v>
      </c>
      <c r="E459" s="307">
        <f t="shared" ca="1" si="212"/>
        <v>-12.94687880793613</v>
      </c>
      <c r="F459" s="304">
        <f t="shared" ca="1" si="213"/>
        <v>12.959735449212783</v>
      </c>
      <c r="G459" s="306">
        <f t="shared" ca="1" si="214"/>
        <v>16.467033963958482</v>
      </c>
      <c r="H459" s="307">
        <f t="shared" ca="1" si="215"/>
        <v>88.523326497127542</v>
      </c>
      <c r="I459" s="304">
        <f t="shared" ca="1" si="216"/>
        <v>90.041893259122475</v>
      </c>
      <c r="J459" s="306">
        <f t="shared" ca="1" si="217"/>
        <v>161.69303941949997</v>
      </c>
      <c r="K459" s="307">
        <f t="shared" ca="1" si="218"/>
        <v>1245.9185335950233</v>
      </c>
      <c r="L459" s="304">
        <f t="shared" ca="1" si="203"/>
        <v>1256.3668378910234</v>
      </c>
      <c r="M459" s="306">
        <f t="shared" ca="1" si="219"/>
        <v>1.3868793164735438</v>
      </c>
      <c r="N459" s="304">
        <f t="shared" ca="1" si="220"/>
        <v>79.462331527922487</v>
      </c>
      <c r="P459" s="310">
        <f t="shared" ca="1" si="221"/>
        <v>23</v>
      </c>
      <c r="Q459" s="304">
        <f t="shared" ca="1" si="222"/>
        <v>0</v>
      </c>
      <c r="R459" s="306">
        <f t="shared" ca="1" si="223"/>
        <v>0</v>
      </c>
      <c r="S459" s="307">
        <f t="shared" ca="1" si="224"/>
        <v>7.4819999999999904</v>
      </c>
      <c r="T459" s="304">
        <f t="shared" ca="1" si="204"/>
        <v>73.398419999999916</v>
      </c>
      <c r="U459" s="311">
        <f t="shared" ca="1" si="205"/>
        <v>0</v>
      </c>
      <c r="V459" s="306">
        <f t="shared" ca="1" si="206"/>
        <v>1.081325326557143</v>
      </c>
      <c r="W459" s="304">
        <f t="shared" ca="1" si="207"/>
        <v>23.177175792236788</v>
      </c>
      <c r="Y459" s="314" t="str">
        <f t="shared" ca="1" si="225"/>
        <v/>
      </c>
      <c r="Z459" s="315" t="str">
        <f t="shared" ca="1" si="226"/>
        <v/>
      </c>
      <c r="AA459" s="316" t="str">
        <f t="shared" ca="1" si="227"/>
        <v/>
      </c>
      <c r="AC459" s="310" t="e">
        <f t="shared" ca="1" si="228"/>
        <v>#N/A</v>
      </c>
      <c r="AD459" s="323" t="e">
        <f t="shared" ca="1" si="229"/>
        <v>#N/A</v>
      </c>
      <c r="AE459" s="324">
        <f t="shared" ca="1" si="208"/>
        <v>1245.9185335950233</v>
      </c>
      <c r="AG459" s="306">
        <f t="shared" ca="1" si="230"/>
        <v>-12.837597986673229</v>
      </c>
      <c r="AH459" s="304">
        <f t="shared" ca="1" si="231"/>
        <v>-3.1895267206711932</v>
      </c>
    </row>
    <row r="460" spans="1:34" x14ac:dyDescent="0.2">
      <c r="A460" s="347">
        <f t="shared" ca="1" si="209"/>
        <v>0.1</v>
      </c>
      <c r="B460" s="304">
        <f t="shared" ca="1" si="210"/>
        <v>9.5999999999999392</v>
      </c>
      <c r="D460" s="306">
        <f t="shared" ca="1" si="211"/>
        <v>-0.56651781843114168</v>
      </c>
      <c r="E460" s="307">
        <f t="shared" ca="1" si="212"/>
        <v>-12.855481166625644</v>
      </c>
      <c r="F460" s="304">
        <f t="shared" ca="1" si="213"/>
        <v>12.867957820262957</v>
      </c>
      <c r="G460" s="306">
        <f t="shared" ca="1" si="214"/>
        <v>16.410382182115367</v>
      </c>
      <c r="H460" s="307">
        <f t="shared" ca="1" si="215"/>
        <v>87.237778380464974</v>
      </c>
      <c r="I460" s="304">
        <f t="shared" ca="1" si="216"/>
        <v>88.767846769662114</v>
      </c>
      <c r="J460" s="306">
        <f t="shared" ca="1" si="217"/>
        <v>163.33691022680367</v>
      </c>
      <c r="K460" s="307">
        <f t="shared" ca="1" si="218"/>
        <v>1254.7065888389029</v>
      </c>
      <c r="L460" s="304">
        <f t="shared" ca="1" si="203"/>
        <v>1265.2934720127953</v>
      </c>
      <c r="M460" s="306">
        <f t="shared" ca="1" si="219"/>
        <v>1.3848582323950933</v>
      </c>
      <c r="N460" s="304">
        <f t="shared" ca="1" si="220"/>
        <v>79.346531940186182</v>
      </c>
      <c r="P460" s="310">
        <f t="shared" ca="1" si="221"/>
        <v>23</v>
      </c>
      <c r="Q460" s="304">
        <f t="shared" ca="1" si="222"/>
        <v>0</v>
      </c>
      <c r="R460" s="306">
        <f t="shared" ca="1" si="223"/>
        <v>0</v>
      </c>
      <c r="S460" s="307">
        <f t="shared" ca="1" si="224"/>
        <v>7.4819999999999904</v>
      </c>
      <c r="T460" s="304">
        <f t="shared" ca="1" si="204"/>
        <v>73.398419999999916</v>
      </c>
      <c r="U460" s="311">
        <f t="shared" ca="1" si="205"/>
        <v>0</v>
      </c>
      <c r="V460" s="306">
        <f t="shared" ca="1" si="206"/>
        <v>1.080371744144917</v>
      </c>
      <c r="W460" s="304">
        <f t="shared" ca="1" si="207"/>
        <v>22.506060993681132</v>
      </c>
      <c r="Y460" s="314" t="str">
        <f t="shared" ca="1" si="225"/>
        <v/>
      </c>
      <c r="Z460" s="315" t="str">
        <f t="shared" ca="1" si="226"/>
        <v/>
      </c>
      <c r="AA460" s="316" t="str">
        <f t="shared" ca="1" si="227"/>
        <v/>
      </c>
      <c r="AC460" s="310" t="e">
        <f t="shared" ca="1" si="228"/>
        <v>#N/A</v>
      </c>
      <c r="AD460" s="323" t="e">
        <f t="shared" ca="1" si="229"/>
        <v>#N/A</v>
      </c>
      <c r="AE460" s="324">
        <f t="shared" ca="1" si="208"/>
        <v>1254.7065888389029</v>
      </c>
      <c r="AG460" s="306">
        <f t="shared" ca="1" si="230"/>
        <v>-12.742277879990359</v>
      </c>
      <c r="AH460" s="304">
        <f t="shared" ca="1" si="231"/>
        <v>-3.0977246447790456</v>
      </c>
    </row>
    <row r="461" spans="1:34" x14ac:dyDescent="0.2">
      <c r="A461" s="347">
        <f t="shared" ca="1" si="209"/>
        <v>0.1</v>
      </c>
      <c r="B461" s="304">
        <f t="shared" ca="1" si="210"/>
        <v>9.6999999999999389</v>
      </c>
      <c r="D461" s="306">
        <f t="shared" ca="1" si="211"/>
        <v>-0.55608963172881265</v>
      </c>
      <c r="E461" s="307">
        <f t="shared" ca="1" si="212"/>
        <v>-12.766178808882508</v>
      </c>
      <c r="F461" s="304">
        <f t="shared" ca="1" si="213"/>
        <v>12.778284589837444</v>
      </c>
      <c r="G461" s="306">
        <f t="shared" ca="1" si="214"/>
        <v>16.354773218942487</v>
      </c>
      <c r="H461" s="307">
        <f t="shared" ca="1" si="215"/>
        <v>85.961160499576721</v>
      </c>
      <c r="I461" s="304">
        <f t="shared" ca="1" si="216"/>
        <v>87.503141209199043</v>
      </c>
      <c r="J461" s="306">
        <f t="shared" ca="1" si="217"/>
        <v>164.97516799685656</v>
      </c>
      <c r="K461" s="307">
        <f t="shared" ca="1" si="218"/>
        <v>1263.366535782905</v>
      </c>
      <c r="L461" s="304">
        <f t="shared" ca="1" si="203"/>
        <v>1274.0925436528105</v>
      </c>
      <c r="M461" s="306">
        <f t="shared" ca="1" si="219"/>
        <v>1.3827856648903409</v>
      </c>
      <c r="N461" s="304">
        <f t="shared" ca="1" si="220"/>
        <v>79.227782569407921</v>
      </c>
      <c r="P461" s="310">
        <f t="shared" ca="1" si="221"/>
        <v>23</v>
      </c>
      <c r="Q461" s="304">
        <f t="shared" ca="1" si="222"/>
        <v>0</v>
      </c>
      <c r="R461" s="306">
        <f t="shared" ca="1" si="223"/>
        <v>0</v>
      </c>
      <c r="S461" s="307">
        <f t="shared" ca="1" si="224"/>
        <v>7.4819999999999904</v>
      </c>
      <c r="T461" s="304">
        <f t="shared" ca="1" si="204"/>
        <v>73.398419999999916</v>
      </c>
      <c r="U461" s="311">
        <f t="shared" ca="1" si="205"/>
        <v>0</v>
      </c>
      <c r="V461" s="306">
        <f t="shared" ca="1" si="206"/>
        <v>1.0794328336973686</v>
      </c>
      <c r="W461" s="304">
        <f t="shared" ca="1" si="207"/>
        <v>21.850320676245087</v>
      </c>
      <c r="Y461" s="314" t="str">
        <f t="shared" ca="1" si="225"/>
        <v/>
      </c>
      <c r="Z461" s="315" t="str">
        <f t="shared" ca="1" si="226"/>
        <v/>
      </c>
      <c r="AA461" s="316" t="str">
        <f t="shared" ca="1" si="227"/>
        <v/>
      </c>
      <c r="AC461" s="310" t="e">
        <f t="shared" ca="1" si="228"/>
        <v>#N/A</v>
      </c>
      <c r="AD461" s="323" t="e">
        <f t="shared" ca="1" si="229"/>
        <v>#N/A</v>
      </c>
      <c r="AE461" s="324">
        <f t="shared" ca="1" si="208"/>
        <v>1263.366535782905</v>
      </c>
      <c r="AG461" s="306">
        <f t="shared" ca="1" si="230"/>
        <v>-12.64893496845081</v>
      </c>
      <c r="AH461" s="304">
        <f t="shared" ca="1" si="231"/>
        <v>-3.0080273982466132</v>
      </c>
    </row>
    <row r="462" spans="1:34" x14ac:dyDescent="0.2">
      <c r="A462" s="347">
        <f t="shared" ca="1" si="209"/>
        <v>0.1</v>
      </c>
      <c r="B462" s="304">
        <f t="shared" ca="1" si="210"/>
        <v>9.7999999999999385</v>
      </c>
      <c r="D462" s="306">
        <f t="shared" ca="1" si="211"/>
        <v>-0.54583451472962119</v>
      </c>
      <c r="E462" s="307">
        <f t="shared" ca="1" si="212"/>
        <v>-12.678921977624064</v>
      </c>
      <c r="F462" s="304">
        <f t="shared" ca="1" si="213"/>
        <v>12.690665775764037</v>
      </c>
      <c r="G462" s="306">
        <f t="shared" ca="1" si="214"/>
        <v>16.300189767469526</v>
      </c>
      <c r="H462" s="307">
        <f t="shared" ca="1" si="215"/>
        <v>84.693268301814314</v>
      </c>
      <c r="I462" s="304">
        <f t="shared" ca="1" si="216"/>
        <v>86.247584789944256</v>
      </c>
      <c r="J462" s="306">
        <f t="shared" ca="1" si="217"/>
        <v>166.60791614617716</v>
      </c>
      <c r="K462" s="307">
        <f t="shared" ca="1" si="218"/>
        <v>1271.8992572229745</v>
      </c>
      <c r="L462" s="304">
        <f t="shared" ca="1" si="203"/>
        <v>1282.7649505061033</v>
      </c>
      <c r="M462" s="306">
        <f t="shared" ca="1" si="219"/>
        <v>1.3806597627217503</v>
      </c>
      <c r="N462" s="304">
        <f t="shared" ca="1" si="220"/>
        <v>79.105977347489954</v>
      </c>
      <c r="P462" s="310">
        <f t="shared" ca="1" si="221"/>
        <v>23</v>
      </c>
      <c r="Q462" s="304">
        <f t="shared" ca="1" si="222"/>
        <v>0</v>
      </c>
      <c r="R462" s="306">
        <f t="shared" ca="1" si="223"/>
        <v>0</v>
      </c>
      <c r="S462" s="307">
        <f t="shared" ca="1" si="224"/>
        <v>7.4819999999999904</v>
      </c>
      <c r="T462" s="304">
        <f t="shared" ca="1" si="204"/>
        <v>73.398419999999916</v>
      </c>
      <c r="U462" s="311">
        <f t="shared" ca="1" si="205"/>
        <v>0</v>
      </c>
      <c r="V462" s="306">
        <f t="shared" ca="1" si="206"/>
        <v>1.0785084647348455</v>
      </c>
      <c r="W462" s="304">
        <f t="shared" ca="1" si="207"/>
        <v>21.209593556702977</v>
      </c>
      <c r="Y462" s="314" t="str">
        <f t="shared" ca="1" si="225"/>
        <v/>
      </c>
      <c r="Z462" s="315" t="str">
        <f t="shared" ca="1" si="226"/>
        <v/>
      </c>
      <c r="AA462" s="316" t="str">
        <f t="shared" ca="1" si="227"/>
        <v/>
      </c>
      <c r="AC462" s="310" t="e">
        <f t="shared" ca="1" si="228"/>
        <v>#N/A</v>
      </c>
      <c r="AD462" s="323" t="e">
        <f t="shared" ca="1" si="229"/>
        <v>#N/A</v>
      </c>
      <c r="AE462" s="324">
        <f t="shared" ca="1" si="208"/>
        <v>1271.8992572229745</v>
      </c>
      <c r="AG462" s="306">
        <f t="shared" ca="1" si="230"/>
        <v>-12.557513154374739</v>
      </c>
      <c r="AH462" s="304">
        <f t="shared" ca="1" si="231"/>
        <v>-2.9203850142000953</v>
      </c>
    </row>
    <row r="463" spans="1:34" x14ac:dyDescent="0.2">
      <c r="A463" s="347">
        <f t="shared" ca="1" si="209"/>
        <v>0.1</v>
      </c>
      <c r="B463" s="304">
        <f t="shared" ca="1" si="210"/>
        <v>9.8999999999999382</v>
      </c>
      <c r="D463" s="306">
        <f t="shared" ca="1" si="211"/>
        <v>-0.5357477558111351</v>
      </c>
      <c r="E463" s="307">
        <f t="shared" ca="1" si="212"/>
        <v>-12.593662587509332</v>
      </c>
      <c r="F463" s="304">
        <f t="shared" ca="1" si="213"/>
        <v>12.605053075092105</v>
      </c>
      <c r="G463" s="306">
        <f t="shared" ca="1" si="214"/>
        <v>16.246614991888411</v>
      </c>
      <c r="H463" s="307">
        <f t="shared" ca="1" si="215"/>
        <v>83.433902043063384</v>
      </c>
      <c r="I463" s="304">
        <f t="shared" ca="1" si="216"/>
        <v>85.000991222609571</v>
      </c>
      <c r="J463" s="306">
        <f t="shared" ca="1" si="217"/>
        <v>168.23525638414506</v>
      </c>
      <c r="K463" s="307">
        <f t="shared" ca="1" si="218"/>
        <v>1280.3056157402184</v>
      </c>
      <c r="L463" s="304">
        <f t="shared" ca="1" si="203"/>
        <v>1291.3115701435415</v>
      </c>
      <c r="M463" s="306">
        <f t="shared" ca="1" si="219"/>
        <v>1.3784785848665093</v>
      </c>
      <c r="N463" s="304">
        <f t="shared" ca="1" si="220"/>
        <v>78.98100506201726</v>
      </c>
      <c r="P463" s="310">
        <f t="shared" ca="1" si="221"/>
        <v>23</v>
      </c>
      <c r="Q463" s="304">
        <f t="shared" ca="1" si="222"/>
        <v>0</v>
      </c>
      <c r="R463" s="306">
        <f t="shared" ca="1" si="223"/>
        <v>0</v>
      </c>
      <c r="S463" s="307">
        <f t="shared" ca="1" si="224"/>
        <v>7.4819999999999904</v>
      </c>
      <c r="T463" s="304">
        <f t="shared" ca="1" si="204"/>
        <v>73.398419999999916</v>
      </c>
      <c r="U463" s="311">
        <f t="shared" ca="1" si="205"/>
        <v>0</v>
      </c>
      <c r="V463" s="306">
        <f t="shared" ca="1" si="206"/>
        <v>1.0775985098520671</v>
      </c>
      <c r="W463" s="304">
        <f t="shared" ca="1" si="207"/>
        <v>20.583530443137764</v>
      </c>
      <c r="Y463" s="314" t="str">
        <f t="shared" ca="1" si="225"/>
        <v/>
      </c>
      <c r="Z463" s="315" t="str">
        <f t="shared" ca="1" si="226"/>
        <v/>
      </c>
      <c r="AA463" s="316" t="str">
        <f t="shared" ca="1" si="227"/>
        <v/>
      </c>
      <c r="AC463" s="310" t="e">
        <f t="shared" ca="1" si="228"/>
        <v>#N/A</v>
      </c>
      <c r="AD463" s="323" t="e">
        <f t="shared" ca="1" si="229"/>
        <v>#N/A</v>
      </c>
      <c r="AE463" s="324">
        <f t="shared" ca="1" si="208"/>
        <v>1280.3056157402184</v>
      </c>
      <c r="AG463" s="306">
        <f t="shared" ca="1" si="230"/>
        <v>-12.467957649279485</v>
      </c>
      <c r="AH463" s="304">
        <f t="shared" ca="1" si="231"/>
        <v>-2.8347492056539703</v>
      </c>
    </row>
    <row r="464" spans="1:34" x14ac:dyDescent="0.2">
      <c r="A464" s="347">
        <f t="shared" ca="1" si="209"/>
        <v>0.1</v>
      </c>
      <c r="B464" s="304">
        <f t="shared" ca="1" si="210"/>
        <v>9.9999999999999378</v>
      </c>
      <c r="D464" s="306">
        <f t="shared" ca="1" si="211"/>
        <v>-0.52582479455722064</v>
      </c>
      <c r="E464" s="307">
        <f t="shared" ca="1" si="212"/>
        <v>-12.510354161331778</v>
      </c>
      <c r="F464" s="304">
        <f t="shared" ca="1" si="213"/>
        <v>12.52139980020295</v>
      </c>
      <c r="G464" s="306">
        <f t="shared" ca="1" si="214"/>
        <v>16.194032512432688</v>
      </c>
      <c r="H464" s="307">
        <f t="shared" ca="1" si="215"/>
        <v>82.182866626930206</v>
      </c>
      <c r="I464" s="304">
        <f t="shared" ca="1" si="216"/>
        <v>83.763179596010588</v>
      </c>
      <c r="J464" s="306">
        <f t="shared" ca="1" si="217"/>
        <v>169.85728875936113</v>
      </c>
      <c r="K464" s="307">
        <f t="shared" ca="1" si="218"/>
        <v>1288.586454173718</v>
      </c>
      <c r="L464" s="304">
        <f t="shared" ca="1" si="203"/>
        <v>1299.7332604902733</v>
      </c>
      <c r="M464" s="306">
        <f t="shared" ca="1" si="219"/>
        <v>1.376240095095554</v>
      </c>
      <c r="N464" s="304">
        <f t="shared" ca="1" si="220"/>
        <v>78.852749045658314</v>
      </c>
      <c r="P464" s="310">
        <f t="shared" ca="1" si="221"/>
        <v>23</v>
      </c>
      <c r="Q464" s="304">
        <f t="shared" ca="1" si="222"/>
        <v>0</v>
      </c>
      <c r="R464" s="306">
        <f t="shared" ca="1" si="223"/>
        <v>0</v>
      </c>
      <c r="S464" s="307">
        <f t="shared" ca="1" si="224"/>
        <v>7.4819999999999904</v>
      </c>
      <c r="T464" s="304">
        <f t="shared" ca="1" si="204"/>
        <v>73.398419999999916</v>
      </c>
      <c r="U464" s="311">
        <f t="shared" ca="1" si="205"/>
        <v>0</v>
      </c>
      <c r="V464" s="306">
        <f t="shared" ca="1" si="206"/>
        <v>1.0767028446429963</v>
      </c>
      <c r="W464" s="304">
        <f t="shared" ca="1" si="207"/>
        <v>19.971793779067777</v>
      </c>
      <c r="Y464" s="314" t="str">
        <f t="shared" ca="1" si="225"/>
        <v/>
      </c>
      <c r="Z464" s="315" t="str">
        <f t="shared" ca="1" si="226"/>
        <v/>
      </c>
      <c r="AA464" s="316" t="str">
        <f t="shared" ca="1" si="227"/>
        <v/>
      </c>
      <c r="AC464" s="310">
        <f t="shared" ca="1" si="228"/>
        <v>9.9999999999999378</v>
      </c>
      <c r="AD464" s="323">
        <f t="shared" ca="1" si="229"/>
        <v>169.85728875936113</v>
      </c>
      <c r="AE464" s="324">
        <f t="shared" ca="1" si="208"/>
        <v>1288.586454173718</v>
      </c>
      <c r="AG464" s="306">
        <f t="shared" ca="1" si="230"/>
        <v>-12.380214883082854</v>
      </c>
      <c r="AH464" s="304">
        <f t="shared" ca="1" si="231"/>
        <v>-2.7510733016757274</v>
      </c>
    </row>
    <row r="465" spans="1:34" x14ac:dyDescent="0.2">
      <c r="A465" s="347">
        <f t="shared" ca="1" si="209"/>
        <v>0.1</v>
      </c>
      <c r="B465" s="304">
        <f t="shared" ca="1" si="210"/>
        <v>10.099999999999937</v>
      </c>
      <c r="D465" s="306">
        <f t="shared" ca="1" si="211"/>
        <v>-0.51606121617867429</v>
      </c>
      <c r="E465" s="307">
        <f t="shared" ca="1" si="212"/>
        <v>-12.428951769300376</v>
      </c>
      <c r="F465" s="304">
        <f t="shared" ca="1" si="213"/>
        <v>12.439660817821311</v>
      </c>
      <c r="G465" s="306">
        <f t="shared" ca="1" si="214"/>
        <v>16.142426390814819</v>
      </c>
      <c r="H465" s="307">
        <f t="shared" ca="1" si="215"/>
        <v>80.939971450000172</v>
      </c>
      <c r="I465" s="304">
        <f t="shared" ca="1" si="216"/>
        <v>82.533974265812006</v>
      </c>
      <c r="J465" s="306">
        <f t="shared" ca="1" si="217"/>
        <v>171.47411170452349</v>
      </c>
      <c r="K465" s="307">
        <f t="shared" ca="1" si="218"/>
        <v>1296.7425960775645</v>
      </c>
      <c r="L465" s="304">
        <f t="shared" ca="1" si="203"/>
        <v>1308.0308602884097</v>
      </c>
      <c r="M465" s="306">
        <f t="shared" ca="1" si="219"/>
        <v>1.3739421561602223</v>
      </c>
      <c r="N465" s="304">
        <f t="shared" ca="1" si="220"/>
        <v>78.721086843085018</v>
      </c>
      <c r="P465" s="310">
        <f t="shared" ca="1" si="221"/>
        <v>23</v>
      </c>
      <c r="Q465" s="304">
        <f t="shared" ca="1" si="222"/>
        <v>0</v>
      </c>
      <c r="R465" s="306">
        <f t="shared" ca="1" si="223"/>
        <v>0</v>
      </c>
      <c r="S465" s="307">
        <f t="shared" ca="1" si="224"/>
        <v>7.4819999999999904</v>
      </c>
      <c r="T465" s="304">
        <f t="shared" ca="1" si="204"/>
        <v>73.398419999999916</v>
      </c>
      <c r="U465" s="311">
        <f t="shared" ca="1" si="205"/>
        <v>0</v>
      </c>
      <c r="V465" s="306">
        <f t="shared" ca="1" si="206"/>
        <v>1.0758213476282905</v>
      </c>
      <c r="W465" s="304">
        <f t="shared" ca="1" si="207"/>
        <v>19.374057208203727</v>
      </c>
      <c r="Y465" s="314" t="str">
        <f t="shared" ca="1" si="225"/>
        <v/>
      </c>
      <c r="Z465" s="315" t="str">
        <f t="shared" ca="1" si="226"/>
        <v/>
      </c>
      <c r="AA465" s="316" t="str">
        <f t="shared" ca="1" si="227"/>
        <v/>
      </c>
      <c r="AC465" s="310" t="e">
        <f t="shared" ca="1" si="228"/>
        <v>#N/A</v>
      </c>
      <c r="AD465" s="323" t="e">
        <f t="shared" ca="1" si="229"/>
        <v>#N/A</v>
      </c>
      <c r="AE465" s="324">
        <f t="shared" ca="1" si="208"/>
        <v>1296.7425960775645</v>
      </c>
      <c r="AG465" s="306">
        <f t="shared" ca="1" si="230"/>
        <v>-12.294232413918664</v>
      </c>
      <c r="AH465" s="304">
        <f t="shared" ca="1" si="231"/>
        <v>-2.6693121864565361</v>
      </c>
    </row>
    <row r="466" spans="1:34" x14ac:dyDescent="0.2">
      <c r="A466" s="347">
        <f t="shared" ca="1" si="209"/>
        <v>0.1</v>
      </c>
      <c r="B466" s="304">
        <f t="shared" ca="1" si="210"/>
        <v>10.199999999999937</v>
      </c>
      <c r="D466" s="306">
        <f t="shared" ca="1" si="211"/>
        <v>-0.50645274620736913</v>
      </c>
      <c r="E466" s="307">
        <f t="shared" ca="1" si="212"/>
        <v>-12.349411971060535</v>
      </c>
      <c r="F466" s="304">
        <f t="shared" ca="1" si="213"/>
        <v>12.35979249077889</v>
      </c>
      <c r="G466" s="306">
        <f t="shared" ca="1" si="214"/>
        <v>16.091781116194081</v>
      </c>
      <c r="H466" s="307">
        <f t="shared" ca="1" si="215"/>
        <v>79.705030252894119</v>
      </c>
      <c r="I466" s="304">
        <f t="shared" ca="1" si="216"/>
        <v>81.313204752403323</v>
      </c>
      <c r="J466" s="306">
        <f t="shared" ca="1" si="217"/>
        <v>173.08582207987394</v>
      </c>
      <c r="K466" s="307">
        <f t="shared" ca="1" si="218"/>
        <v>1304.7748461627093</v>
      </c>
      <c r="L466" s="304">
        <f t="shared" ca="1" si="203"/>
        <v>1316.2051895445434</v>
      </c>
      <c r="M466" s="306">
        <f t="shared" ca="1" si="219"/>
        <v>1.3715825235535204</v>
      </c>
      <c r="N466" s="304">
        <f t="shared" ca="1" si="220"/>
        <v>78.585889853519546</v>
      </c>
      <c r="P466" s="310">
        <f t="shared" ca="1" si="221"/>
        <v>23</v>
      </c>
      <c r="Q466" s="304">
        <f t="shared" ca="1" si="222"/>
        <v>0</v>
      </c>
      <c r="R466" s="306">
        <f t="shared" ca="1" si="223"/>
        <v>0</v>
      </c>
      <c r="S466" s="307">
        <f t="shared" ca="1" si="224"/>
        <v>7.4819999999999904</v>
      </c>
      <c r="T466" s="304">
        <f t="shared" ca="1" si="204"/>
        <v>73.398419999999916</v>
      </c>
      <c r="U466" s="311">
        <f t="shared" ca="1" si="205"/>
        <v>0</v>
      </c>
      <c r="V466" s="306">
        <f t="shared" ca="1" si="206"/>
        <v>1.0749539001852251</v>
      </c>
      <c r="W466" s="304">
        <f t="shared" ca="1" si="207"/>
        <v>18.790005158788194</v>
      </c>
      <c r="Y466" s="314" t="str">
        <f t="shared" ca="1" si="225"/>
        <v/>
      </c>
      <c r="Z466" s="315" t="str">
        <f t="shared" ca="1" si="226"/>
        <v/>
      </c>
      <c r="AA466" s="316" t="str">
        <f t="shared" ca="1" si="227"/>
        <v/>
      </c>
      <c r="AC466" s="310" t="e">
        <f t="shared" ca="1" si="228"/>
        <v>#N/A</v>
      </c>
      <c r="AD466" s="323" t="e">
        <f t="shared" ca="1" si="229"/>
        <v>#N/A</v>
      </c>
      <c r="AE466" s="324">
        <f t="shared" ca="1" si="208"/>
        <v>1304.7748461627093</v>
      </c>
      <c r="AG466" s="306">
        <f t="shared" ca="1" si="230"/>
        <v>-12.209958838192561</v>
      </c>
      <c r="AH466" s="304">
        <f t="shared" ca="1" si="231"/>
        <v>-2.5894222411392342</v>
      </c>
    </row>
    <row r="467" spans="1:34" x14ac:dyDescent="0.2">
      <c r="A467" s="347">
        <f t="shared" ca="1" si="209"/>
        <v>0.1</v>
      </c>
      <c r="B467" s="304">
        <f t="shared" ca="1" si="210"/>
        <v>10.299999999999937</v>
      </c>
      <c r="D467" s="306">
        <f t="shared" ca="1" si="211"/>
        <v>-0.49699524545214208</v>
      </c>
      <c r="E467" s="307">
        <f t="shared" ca="1" si="212"/>
        <v>-12.271692760314933</v>
      </c>
      <c r="F467" s="304">
        <f t="shared" ca="1" si="213"/>
        <v>12.28175262238936</v>
      </c>
      <c r="G467" s="306">
        <f t="shared" ca="1" si="214"/>
        <v>16.042081591648866</v>
      </c>
      <c r="H467" s="307">
        <f t="shared" ca="1" si="215"/>
        <v>78.47786097686263</v>
      </c>
      <c r="I467" s="304">
        <f t="shared" ca="1" si="216"/>
        <v>80.10070564793358</v>
      </c>
      <c r="J467" s="306">
        <f t="shared" ca="1" si="217"/>
        <v>174.69251521526607</v>
      </c>
      <c r="K467" s="307">
        <f t="shared" ca="1" si="218"/>
        <v>1312.6839907241972</v>
      </c>
      <c r="L467" s="304">
        <f t="shared" ca="1" si="203"/>
        <v>1324.2570499626725</v>
      </c>
      <c r="M467" s="306">
        <f t="shared" ca="1" si="219"/>
        <v>1.3691588388098459</v>
      </c>
      <c r="N467" s="304">
        <f t="shared" ca="1" si="220"/>
        <v>78.447022946836753</v>
      </c>
      <c r="P467" s="310">
        <f t="shared" ca="1" si="221"/>
        <v>23</v>
      </c>
      <c r="Q467" s="304">
        <f t="shared" ca="1" si="222"/>
        <v>0</v>
      </c>
      <c r="R467" s="306">
        <f t="shared" ca="1" si="223"/>
        <v>0</v>
      </c>
      <c r="S467" s="307">
        <f t="shared" ca="1" si="224"/>
        <v>7.4819999999999904</v>
      </c>
      <c r="T467" s="304">
        <f t="shared" ca="1" si="204"/>
        <v>73.398419999999916</v>
      </c>
      <c r="U467" s="311">
        <f t="shared" ca="1" si="205"/>
        <v>0</v>
      </c>
      <c r="V467" s="306">
        <f t="shared" ca="1" si="206"/>
        <v>1.0741003864799952</v>
      </c>
      <c r="W467" s="304">
        <f t="shared" ca="1" si="207"/>
        <v>18.219332446530032</v>
      </c>
      <c r="Y467" s="314" t="str">
        <f t="shared" ca="1" si="225"/>
        <v/>
      </c>
      <c r="Z467" s="315" t="str">
        <f t="shared" ca="1" si="226"/>
        <v/>
      </c>
      <c r="AA467" s="316" t="str">
        <f t="shared" ca="1" si="227"/>
        <v/>
      </c>
      <c r="AC467" s="310" t="e">
        <f t="shared" ca="1" si="228"/>
        <v>#N/A</v>
      </c>
      <c r="AD467" s="323" t="e">
        <f t="shared" ca="1" si="229"/>
        <v>#N/A</v>
      </c>
      <c r="AE467" s="324">
        <f t="shared" ca="1" si="208"/>
        <v>1312.6839907241972</v>
      </c>
      <c r="AG467" s="306">
        <f t="shared" ca="1" si="230"/>
        <v>-12.127343700490204</v>
      </c>
      <c r="AH467" s="304">
        <f t="shared" ca="1" si="231"/>
        <v>-2.5113612882635952</v>
      </c>
    </row>
    <row r="468" spans="1:34" x14ac:dyDescent="0.2">
      <c r="A468" s="347">
        <f t="shared" ca="1" si="209"/>
        <v>0.1</v>
      </c>
      <c r="B468" s="304">
        <f t="shared" ca="1" si="210"/>
        <v>10.399999999999936</v>
      </c>
      <c r="D468" s="306">
        <f t="shared" ca="1" si="211"/>
        <v>-0.4876847052054919</v>
      </c>
      <c r="E468" s="307">
        <f t="shared" ca="1" si="212"/>
        <v>-12.19575351191223</v>
      </c>
      <c r="F468" s="304">
        <f t="shared" ca="1" si="213"/>
        <v>12.205500403302228</v>
      </c>
      <c r="G468" s="306">
        <f t="shared" ca="1" si="214"/>
        <v>15.993313121128317</v>
      </c>
      <c r="H468" s="307">
        <f t="shared" ca="1" si="215"/>
        <v>77.258285625671405</v>
      </c>
      <c r="I468" s="304">
        <f t="shared" ca="1" si="216"/>
        <v>78.896316532575085</v>
      </c>
      <c r="J468" s="306">
        <f t="shared" ca="1" si="217"/>
        <v>176.29428495090494</v>
      </c>
      <c r="K468" s="307">
        <f t="shared" ca="1" si="218"/>
        <v>1320.470798054324</v>
      </c>
      <c r="L468" s="304">
        <f t="shared" ca="1" si="203"/>
        <v>1332.1872253630772</v>
      </c>
      <c r="M468" s="306">
        <f t="shared" ca="1" si="219"/>
        <v>1.3666686223035047</v>
      </c>
      <c r="N468" s="304">
        <f t="shared" ca="1" si="220"/>
        <v>78.304344050949595</v>
      </c>
      <c r="P468" s="310">
        <f t="shared" ca="1" si="221"/>
        <v>23</v>
      </c>
      <c r="Q468" s="304">
        <f t="shared" ca="1" si="222"/>
        <v>0</v>
      </c>
      <c r="R468" s="306">
        <f t="shared" ca="1" si="223"/>
        <v>0</v>
      </c>
      <c r="S468" s="307">
        <f t="shared" ca="1" si="224"/>
        <v>7.4819999999999904</v>
      </c>
      <c r="T468" s="304">
        <f t="shared" ca="1" si="204"/>
        <v>73.398419999999916</v>
      </c>
      <c r="U468" s="311">
        <f t="shared" ca="1" si="205"/>
        <v>0</v>
      </c>
      <c r="V468" s="306">
        <f t="shared" ca="1" si="206"/>
        <v>1.0732606934023086</v>
      </c>
      <c r="W468" s="304">
        <f t="shared" ca="1" si="207"/>
        <v>17.661743895202061</v>
      </c>
      <c r="Y468" s="314" t="str">
        <f t="shared" ca="1" si="225"/>
        <v/>
      </c>
      <c r="Z468" s="315" t="str">
        <f t="shared" ca="1" si="226"/>
        <v/>
      </c>
      <c r="AA468" s="316" t="str">
        <f t="shared" ca="1" si="227"/>
        <v/>
      </c>
      <c r="AC468" s="310" t="e">
        <f t="shared" ca="1" si="228"/>
        <v>#N/A</v>
      </c>
      <c r="AD468" s="323" t="e">
        <f t="shared" ca="1" si="229"/>
        <v>#N/A</v>
      </c>
      <c r="AE468" s="324">
        <f t="shared" ca="1" si="208"/>
        <v>1320.470798054324</v>
      </c>
      <c r="AG468" s="306">
        <f t="shared" ca="1" si="230"/>
        <v>-12.046337402930618</v>
      </c>
      <c r="AH468" s="304">
        <f t="shared" ca="1" si="231"/>
        <v>-2.4350885386968799</v>
      </c>
    </row>
    <row r="469" spans="1:34" x14ac:dyDescent="0.2">
      <c r="A469" s="347">
        <f t="shared" ca="1" si="209"/>
        <v>0.1</v>
      </c>
      <c r="B469" s="304">
        <f t="shared" ca="1" si="210"/>
        <v>10.499999999999936</v>
      </c>
      <c r="D469" s="306">
        <f t="shared" ca="1" si="211"/>
        <v>-0.47851724269105678</v>
      </c>
      <c r="E469" s="307">
        <f t="shared" ca="1" si="212"/>
        <v>-12.12155493127907</v>
      </c>
      <c r="F469" s="304">
        <f t="shared" ca="1" si="213"/>
        <v>12.130996360710384</v>
      </c>
      <c r="G469" s="306">
        <f t="shared" ca="1" si="214"/>
        <v>15.94546139685921</v>
      </c>
      <c r="H469" s="307">
        <f t="shared" ca="1" si="215"/>
        <v>76.046130132543496</v>
      </c>
      <c r="I469" s="304">
        <f t="shared" ca="1" si="216"/>
        <v>77.699881900132041</v>
      </c>
      <c r="J469" s="306">
        <f t="shared" ca="1" si="217"/>
        <v>177.89122367680432</v>
      </c>
      <c r="K469" s="307">
        <f t="shared" ca="1" si="218"/>
        <v>1328.1360188422348</v>
      </c>
      <c r="L469" s="304">
        <f t="shared" ca="1" si="203"/>
        <v>1339.9964820876701</v>
      </c>
      <c r="M469" s="306">
        <f t="shared" ca="1" si="219"/>
        <v>1.3641092655025031</v>
      </c>
      <c r="N469" s="304">
        <f t="shared" ca="1" si="220"/>
        <v>78.157703707984098</v>
      </c>
      <c r="P469" s="310">
        <f t="shared" ca="1" si="221"/>
        <v>23</v>
      </c>
      <c r="Q469" s="304">
        <f t="shared" ca="1" si="222"/>
        <v>0</v>
      </c>
      <c r="R469" s="306">
        <f t="shared" ca="1" si="223"/>
        <v>0</v>
      </c>
      <c r="S469" s="307">
        <f t="shared" ca="1" si="224"/>
        <v>7.4819999999999904</v>
      </c>
      <c r="T469" s="304">
        <f t="shared" ca="1" si="204"/>
        <v>73.398419999999916</v>
      </c>
      <c r="U469" s="311">
        <f t="shared" ca="1" si="205"/>
        <v>0</v>
      </c>
      <c r="V469" s="306">
        <f t="shared" ca="1" si="206"/>
        <v>1.0724347105021836</v>
      </c>
      <c r="W469" s="304">
        <f t="shared" ca="1" si="207"/>
        <v>17.116953974023687</v>
      </c>
      <c r="Y469" s="314" t="str">
        <f t="shared" ca="1" si="225"/>
        <v/>
      </c>
      <c r="Z469" s="315" t="str">
        <f t="shared" ca="1" si="226"/>
        <v/>
      </c>
      <c r="AA469" s="316" t="str">
        <f t="shared" ca="1" si="227"/>
        <v/>
      </c>
      <c r="AC469" s="310" t="e">
        <f t="shared" ca="1" si="228"/>
        <v>#N/A</v>
      </c>
      <c r="AD469" s="323" t="e">
        <f t="shared" ca="1" si="229"/>
        <v>#N/A</v>
      </c>
      <c r="AE469" s="324">
        <f t="shared" ca="1" si="208"/>
        <v>1328.1360188422348</v>
      </c>
      <c r="AG469" s="306">
        <f t="shared" ca="1" si="230"/>
        <v>-11.966891113534034</v>
      </c>
      <c r="AH469" s="304">
        <f t="shared" ca="1" si="231"/>
        <v>-2.3605645409251648</v>
      </c>
    </row>
    <row r="470" spans="1:34" x14ac:dyDescent="0.2">
      <c r="A470" s="347">
        <f t="shared" ca="1" si="209"/>
        <v>0.1</v>
      </c>
      <c r="B470" s="304">
        <f t="shared" ca="1" si="210"/>
        <v>10.599999999999936</v>
      </c>
      <c r="D470" s="306">
        <f t="shared" ca="1" si="211"/>
        <v>-0.4694890967426491</v>
      </c>
      <c r="E470" s="307">
        <f t="shared" ca="1" si="212"/>
        <v>-12.049059006077695</v>
      </c>
      <c r="F470" s="304">
        <f t="shared" ca="1" si="213"/>
        <v>12.058202309793206</v>
      </c>
      <c r="G470" s="306">
        <f t="shared" ca="1" si="214"/>
        <v>15.898512487184945</v>
      </c>
      <c r="H470" s="307">
        <f t="shared" ca="1" si="215"/>
        <v>74.841224231935726</v>
      </c>
      <c r="I470" s="304">
        <f t="shared" ca="1" si="216"/>
        <v>76.511251093156616</v>
      </c>
      <c r="J470" s="306">
        <f t="shared" ca="1" si="217"/>
        <v>179.48342237100653</v>
      </c>
      <c r="K470" s="307">
        <f t="shared" ca="1" si="218"/>
        <v>1335.6803865604588</v>
      </c>
      <c r="L470" s="304">
        <f t="shared" ca="1" si="203"/>
        <v>1347.6855693923214</v>
      </c>
      <c r="M470" s="306">
        <f t="shared" ca="1" si="219"/>
        <v>1.3614780226298031</v>
      </c>
      <c r="N470" s="304">
        <f t="shared" ca="1" si="220"/>
        <v>78.006944596504511</v>
      </c>
      <c r="P470" s="310">
        <f t="shared" ca="1" si="221"/>
        <v>23</v>
      </c>
      <c r="Q470" s="304">
        <f t="shared" ca="1" si="222"/>
        <v>0</v>
      </c>
      <c r="R470" s="306">
        <f t="shared" ca="1" si="223"/>
        <v>0</v>
      </c>
      <c r="S470" s="307">
        <f t="shared" ca="1" si="224"/>
        <v>7.4819999999999904</v>
      </c>
      <c r="T470" s="304">
        <f t="shared" ca="1" si="204"/>
        <v>73.398419999999916</v>
      </c>
      <c r="U470" s="311">
        <f t="shared" ca="1" si="205"/>
        <v>0</v>
      </c>
      <c r="V470" s="306">
        <f t="shared" ca="1" si="206"/>
        <v>1.0716223299288619</v>
      </c>
      <c r="W470" s="304">
        <f t="shared" ca="1" si="207"/>
        <v>16.58468645099871</v>
      </c>
      <c r="Y470" s="314" t="str">
        <f t="shared" ca="1" si="225"/>
        <v/>
      </c>
      <c r="Z470" s="315" t="str">
        <f t="shared" ca="1" si="226"/>
        <v/>
      </c>
      <c r="AA470" s="316" t="str">
        <f t="shared" ca="1" si="227"/>
        <v/>
      </c>
      <c r="AC470" s="310" t="e">
        <f t="shared" ca="1" si="228"/>
        <v>#N/A</v>
      </c>
      <c r="AD470" s="323" t="e">
        <f t="shared" ca="1" si="229"/>
        <v>#N/A</v>
      </c>
      <c r="AE470" s="324">
        <f t="shared" ca="1" si="208"/>
        <v>1335.6803865604588</v>
      </c>
      <c r="AG470" s="306">
        <f t="shared" ca="1" si="230"/>
        <v>-11.888956673146062</v>
      </c>
      <c r="AH470" s="304">
        <f t="shared" ca="1" si="231"/>
        <v>-2.2877511325880393</v>
      </c>
    </row>
    <row r="471" spans="1:34" x14ac:dyDescent="0.2">
      <c r="A471" s="347">
        <f t="shared" ca="1" si="209"/>
        <v>0.1</v>
      </c>
      <c r="B471" s="304">
        <f t="shared" ca="1" si="210"/>
        <v>10.699999999999935</v>
      </c>
      <c r="D471" s="306">
        <f t="shared" ca="1" si="211"/>
        <v>-0.46059662370643373</v>
      </c>
      <c r="E471" s="307">
        <f t="shared" ca="1" si="212"/>
        <v>-11.978228959977967</v>
      </c>
      <c r="F471" s="304">
        <f t="shared" ca="1" si="213"/>
        <v>11.987081307283463</v>
      </c>
      <c r="G471" s="306">
        <f t="shared" ca="1" si="214"/>
        <v>15.852452824814302</v>
      </c>
      <c r="H471" s="307">
        <f t="shared" ca="1" si="215"/>
        <v>73.643401335937924</v>
      </c>
      <c r="I471" s="304">
        <f t="shared" ca="1" si="216"/>
        <v>75.330278247786836</v>
      </c>
      <c r="J471" s="306">
        <f t="shared" ca="1" si="217"/>
        <v>181.07097063660649</v>
      </c>
      <c r="K471" s="307">
        <f t="shared" ca="1" si="218"/>
        <v>1343.1046178388526</v>
      </c>
      <c r="L471" s="304">
        <f t="shared" ca="1" si="203"/>
        <v>1355.2552198266321</v>
      </c>
      <c r="M471" s="306">
        <f t="shared" ca="1" si="219"/>
        <v>1.3587720016794744</v>
      </c>
      <c r="N471" s="304">
        <f t="shared" ca="1" si="220"/>
        <v>77.851901016776694</v>
      </c>
      <c r="P471" s="310">
        <f t="shared" ca="1" si="221"/>
        <v>23</v>
      </c>
      <c r="Q471" s="304">
        <f t="shared" ca="1" si="222"/>
        <v>0</v>
      </c>
      <c r="R471" s="306">
        <f t="shared" ca="1" si="223"/>
        <v>0</v>
      </c>
      <c r="S471" s="307">
        <f t="shared" ca="1" si="224"/>
        <v>7.4819999999999904</v>
      </c>
      <c r="T471" s="304">
        <f t="shared" ca="1" si="204"/>
        <v>73.398419999999916</v>
      </c>
      <c r="U471" s="311">
        <f t="shared" ca="1" si="205"/>
        <v>0</v>
      </c>
      <c r="V471" s="306">
        <f t="shared" ca="1" si="206"/>
        <v>1.0708234463717683</v>
      </c>
      <c r="W471" s="304">
        <f t="shared" ca="1" si="207"/>
        <v>16.06467406142583</v>
      </c>
      <c r="Y471" s="314" t="str">
        <f t="shared" ca="1" si="225"/>
        <v/>
      </c>
      <c r="Z471" s="315" t="str">
        <f t="shared" ca="1" si="226"/>
        <v/>
      </c>
      <c r="AA471" s="316" t="str">
        <f t="shared" ca="1" si="227"/>
        <v/>
      </c>
      <c r="AC471" s="310" t="e">
        <f t="shared" ca="1" si="228"/>
        <v>#N/A</v>
      </c>
      <c r="AD471" s="323" t="e">
        <f t="shared" ca="1" si="229"/>
        <v>#N/A</v>
      </c>
      <c r="AE471" s="324">
        <f t="shared" ca="1" si="208"/>
        <v>1343.1046178388526</v>
      </c>
      <c r="AG471" s="306">
        <f t="shared" ca="1" si="230"/>
        <v>-11.812486500427475</v>
      </c>
      <c r="AH471" s="304">
        <f t="shared" ca="1" si="231"/>
        <v>-2.2166113941457808</v>
      </c>
    </row>
    <row r="472" spans="1:34" x14ac:dyDescent="0.2">
      <c r="A472" s="347">
        <f t="shared" ca="1" si="209"/>
        <v>0.1</v>
      </c>
      <c r="B472" s="304">
        <f t="shared" ca="1" si="210"/>
        <v>10.799999999999935</v>
      </c>
      <c r="D472" s="306">
        <f t="shared" ca="1" si="211"/>
        <v>-0.45183629355864929</v>
      </c>
      <c r="E472" s="307">
        <f t="shared" ca="1" si="212"/>
        <v>-11.909029208438731</v>
      </c>
      <c r="F472" s="304">
        <f t="shared" ca="1" si="213"/>
        <v>11.917597607052508</v>
      </c>
      <c r="G472" s="306">
        <f t="shared" ca="1" si="214"/>
        <v>15.807269195458437</v>
      </c>
      <c r="H472" s="307">
        <f t="shared" ca="1" si="215"/>
        <v>72.452498415094055</v>
      </c>
      <c r="I472" s="304">
        <f t="shared" ca="1" si="216"/>
        <v>74.156822248575992</v>
      </c>
      <c r="J472" s="306">
        <f t="shared" ca="1" si="217"/>
        <v>182.65395673762012</v>
      </c>
      <c r="K472" s="307">
        <f t="shared" ca="1" si="218"/>
        <v>1350.4094128264042</v>
      </c>
      <c r="L472" s="304">
        <f t="shared" ca="1" si="203"/>
        <v>1362.7061496016161</v>
      </c>
      <c r="M472" s="306">
        <f t="shared" ca="1" si="219"/>
        <v>1.3559881547298935</v>
      </c>
      <c r="N472" s="304">
        <f t="shared" ca="1" si="220"/>
        <v>77.692398335755342</v>
      </c>
      <c r="P472" s="310">
        <f t="shared" ca="1" si="221"/>
        <v>23</v>
      </c>
      <c r="Q472" s="304">
        <f t="shared" ca="1" si="222"/>
        <v>0</v>
      </c>
      <c r="R472" s="306">
        <f t="shared" ca="1" si="223"/>
        <v>0</v>
      </c>
      <c r="S472" s="307">
        <f t="shared" ca="1" si="224"/>
        <v>7.4819999999999904</v>
      </c>
      <c r="T472" s="304">
        <f t="shared" ca="1" si="204"/>
        <v>73.398419999999916</v>
      </c>
      <c r="U472" s="311">
        <f t="shared" ca="1" si="205"/>
        <v>0</v>
      </c>
      <c r="V472" s="306">
        <f t="shared" ca="1" si="206"/>
        <v>1.0700379570034342</v>
      </c>
      <c r="W472" s="304">
        <f t="shared" ca="1" si="207"/>
        <v>15.556658190842272</v>
      </c>
      <c r="Y472" s="314" t="str">
        <f t="shared" ca="1" si="225"/>
        <v/>
      </c>
      <c r="Z472" s="315" t="str">
        <f t="shared" ca="1" si="226"/>
        <v/>
      </c>
      <c r="AA472" s="316" t="str">
        <f t="shared" ca="1" si="227"/>
        <v/>
      </c>
      <c r="AC472" s="310" t="e">
        <f t="shared" ca="1" si="228"/>
        <v>#N/A</v>
      </c>
      <c r="AD472" s="323" t="e">
        <f t="shared" ca="1" si="229"/>
        <v>#N/A</v>
      </c>
      <c r="AE472" s="324">
        <f t="shared" ca="1" si="208"/>
        <v>1350.4094128264042</v>
      </c>
      <c r="AG472" s="306">
        <f t="shared" ca="1" si="230"/>
        <v>-11.737433494381325</v>
      </c>
      <c r="AH472" s="304">
        <f t="shared" ca="1" si="231"/>
        <v>-2.1471096045744251</v>
      </c>
    </row>
    <row r="473" spans="1:34" x14ac:dyDescent="0.2">
      <c r="A473" s="347">
        <f t="shared" ca="1" si="209"/>
        <v>0.1</v>
      </c>
      <c r="B473" s="304">
        <f t="shared" ca="1" si="210"/>
        <v>10.899999999999935</v>
      </c>
      <c r="D473" s="306">
        <f t="shared" ca="1" si="211"/>
        <v>-0.44320468623203535</v>
      </c>
      <c r="E473" s="307">
        <f t="shared" ca="1" si="212"/>
        <v>-11.841425316399032</v>
      </c>
      <c r="F473" s="304">
        <f t="shared" ca="1" si="213"/>
        <v>11.849716617613854</v>
      </c>
      <c r="G473" s="306">
        <f t="shared" ca="1" si="214"/>
        <v>15.762948726835234</v>
      </c>
      <c r="H473" s="307">
        <f t="shared" ca="1" si="215"/>
        <v>71.268355883454149</v>
      </c>
      <c r="I473" s="304">
        <f t="shared" ca="1" si="216"/>
        <v>72.990746693642691</v>
      </c>
      <c r="J473" s="306">
        <f t="shared" ca="1" si="217"/>
        <v>184.23246763373481</v>
      </c>
      <c r="K473" s="307">
        <f t="shared" ca="1" si="218"/>
        <v>1357.5954555413316</v>
      </c>
      <c r="L473" s="304">
        <f t="shared" ca="1" si="203"/>
        <v>1370.0390589457261</v>
      </c>
      <c r="M473" s="306">
        <f t="shared" ca="1" si="219"/>
        <v>1.3531232674902711</v>
      </c>
      <c r="N473" s="304">
        <f t="shared" ca="1" si="220"/>
        <v>77.528252388144082</v>
      </c>
      <c r="P473" s="310">
        <f t="shared" ca="1" si="221"/>
        <v>23</v>
      </c>
      <c r="Q473" s="304">
        <f t="shared" ca="1" si="222"/>
        <v>0</v>
      </c>
      <c r="R473" s="306">
        <f t="shared" ca="1" si="223"/>
        <v>0</v>
      </c>
      <c r="S473" s="307">
        <f t="shared" ca="1" si="224"/>
        <v>7.4819999999999904</v>
      </c>
      <c r="T473" s="304">
        <f t="shared" ca="1" si="204"/>
        <v>73.398419999999916</v>
      </c>
      <c r="U473" s="311">
        <f t="shared" ca="1" si="205"/>
        <v>0</v>
      </c>
      <c r="V473" s="306">
        <f t="shared" ca="1" si="206"/>
        <v>1.0692657614243142</v>
      </c>
      <c r="W473" s="304">
        <f t="shared" ca="1" si="207"/>
        <v>15.060388571701868</v>
      </c>
      <c r="Y473" s="314" t="str">
        <f t="shared" ca="1" si="225"/>
        <v/>
      </c>
      <c r="Z473" s="315" t="str">
        <f t="shared" ca="1" si="226"/>
        <v/>
      </c>
      <c r="AA473" s="316" t="str">
        <f t="shared" ca="1" si="227"/>
        <v/>
      </c>
      <c r="AC473" s="310" t="e">
        <f t="shared" ca="1" si="228"/>
        <v>#N/A</v>
      </c>
      <c r="AD473" s="323" t="e">
        <f t="shared" ca="1" si="229"/>
        <v>#N/A</v>
      </c>
      <c r="AE473" s="324">
        <f t="shared" ca="1" si="208"/>
        <v>1357.5954555413316</v>
      </c>
      <c r="AG473" s="306">
        <f t="shared" ca="1" si="230"/>
        <v>-11.663750933845108</v>
      </c>
      <c r="AH473" s="304">
        <f t="shared" ca="1" si="231"/>
        <v>-2.0792111989898814</v>
      </c>
    </row>
    <row r="474" spans="1:34" x14ac:dyDescent="0.2">
      <c r="A474" s="347">
        <f t="shared" ca="1" si="209"/>
        <v>0.1</v>
      </c>
      <c r="B474" s="304">
        <f t="shared" ca="1" si="210"/>
        <v>10.999999999999934</v>
      </c>
      <c r="D474" s="306">
        <f t="shared" ca="1" si="211"/>
        <v>-0.43469848814490308</v>
      </c>
      <c r="E474" s="307">
        <f t="shared" ca="1" si="212"/>
        <v>-11.775383957785062</v>
      </c>
      <c r="F474" s="304">
        <f t="shared" ca="1" si="213"/>
        <v>11.783404861450585</v>
      </c>
      <c r="G474" s="306">
        <f t="shared" ca="1" si="214"/>
        <v>15.719478878020743</v>
      </c>
      <c r="H474" s="307">
        <f t="shared" ca="1" si="215"/>
        <v>70.090817487675636</v>
      </c>
      <c r="I474" s="304">
        <f t="shared" ca="1" si="216"/>
        <v>71.831919870536638</v>
      </c>
      <c r="J474" s="306">
        <f t="shared" ca="1" si="217"/>
        <v>185.8065890139776</v>
      </c>
      <c r="K474" s="307">
        <f t="shared" ca="1" si="218"/>
        <v>1364.6634142098881</v>
      </c>
      <c r="L474" s="304">
        <f t="shared" ca="1" si="203"/>
        <v>1377.2546324496416</v>
      </c>
      <c r="M474" s="306">
        <f t="shared" ca="1" si="219"/>
        <v>1.3501739480102544</v>
      </c>
      <c r="N474" s="304">
        <f t="shared" ca="1" si="220"/>
        <v>77.359268829503407</v>
      </c>
      <c r="P474" s="310">
        <f t="shared" ca="1" si="221"/>
        <v>23</v>
      </c>
      <c r="Q474" s="304">
        <f t="shared" ca="1" si="222"/>
        <v>0</v>
      </c>
      <c r="R474" s="306">
        <f t="shared" ca="1" si="223"/>
        <v>0</v>
      </c>
      <c r="S474" s="307">
        <f t="shared" ca="1" si="224"/>
        <v>7.4819999999999904</v>
      </c>
      <c r="T474" s="304">
        <f t="shared" ca="1" si="204"/>
        <v>73.398419999999916</v>
      </c>
      <c r="U474" s="311">
        <f t="shared" ca="1" si="205"/>
        <v>0</v>
      </c>
      <c r="V474" s="306">
        <f t="shared" ca="1" si="206"/>
        <v>1.0685067616094306</v>
      </c>
      <c r="W474" s="304">
        <f t="shared" ca="1" si="207"/>
        <v>14.575622993127636</v>
      </c>
      <c r="Y474" s="314" t="str">
        <f t="shared" ca="1" si="225"/>
        <v/>
      </c>
      <c r="Z474" s="315" t="str">
        <f t="shared" ca="1" si="226"/>
        <v/>
      </c>
      <c r="AA474" s="316" t="str">
        <f t="shared" ca="1" si="227"/>
        <v/>
      </c>
      <c r="AC474" s="310">
        <f t="shared" ca="1" si="228"/>
        <v>10.999999999999934</v>
      </c>
      <c r="AD474" s="323">
        <f t="shared" ca="1" si="229"/>
        <v>185.8065890139776</v>
      </c>
      <c r="AE474" s="324">
        <f t="shared" ca="1" si="208"/>
        <v>1364.6634142098881</v>
      </c>
      <c r="AG474" s="306">
        <f t="shared" ca="1" si="230"/>
        <v>-11.591392373325231</v>
      </c>
      <c r="AH474" s="304">
        <f t="shared" ca="1" si="231"/>
        <v>-2.01288272810771</v>
      </c>
    </row>
    <row r="475" spans="1:34" x14ac:dyDescent="0.2">
      <c r="A475" s="347">
        <f t="shared" ca="1" si="209"/>
        <v>0.1</v>
      </c>
      <c r="B475" s="304">
        <f t="shared" ca="1" si="210"/>
        <v>11.099999999999934</v>
      </c>
      <c r="D475" s="306">
        <f t="shared" ca="1" si="211"/>
        <v>-0.42631448892758506</v>
      </c>
      <c r="E475" s="307">
        <f t="shared" ca="1" si="212"/>
        <v>-11.710872876743696</v>
      </c>
      <c r="F475" s="304">
        <f t="shared" ca="1" si="213"/>
        <v>11.718629936077033</v>
      </c>
      <c r="G475" s="306">
        <f t="shared" ca="1" si="214"/>
        <v>15.676847429127985</v>
      </c>
      <c r="H475" s="307">
        <f t="shared" ca="1" si="215"/>
        <v>68.919730200001268</v>
      </c>
      <c r="I475" s="304">
        <f t="shared" ca="1" si="216"/>
        <v>70.680214743286712</v>
      </c>
      <c r="J475" s="306">
        <f t="shared" ca="1" si="217"/>
        <v>187.37640532933503</v>
      </c>
      <c r="K475" s="307">
        <f t="shared" ca="1" si="218"/>
        <v>1371.6139415942719</v>
      </c>
      <c r="L475" s="304">
        <f t="shared" ca="1" si="203"/>
        <v>1384.3535394002206</v>
      </c>
      <c r="M475" s="306">
        <f t="shared" ca="1" si="219"/>
        <v>1.3471366144750787</v>
      </c>
      <c r="N475" s="304">
        <f t="shared" ca="1" si="220"/>
        <v>77.185242436964288</v>
      </c>
      <c r="P475" s="310">
        <f t="shared" ca="1" si="221"/>
        <v>23</v>
      </c>
      <c r="Q475" s="304">
        <f t="shared" ca="1" si="222"/>
        <v>0</v>
      </c>
      <c r="R475" s="306">
        <f t="shared" ca="1" si="223"/>
        <v>0</v>
      </c>
      <c r="S475" s="307">
        <f t="shared" ca="1" si="224"/>
        <v>7.4819999999999904</v>
      </c>
      <c r="T475" s="304">
        <f t="shared" ca="1" si="204"/>
        <v>73.398419999999916</v>
      </c>
      <c r="U475" s="311">
        <f t="shared" ca="1" si="205"/>
        <v>0</v>
      </c>
      <c r="V475" s="306">
        <f t="shared" ca="1" si="206"/>
        <v>1.0677608618567775</v>
      </c>
      <c r="W475" s="304">
        <f t="shared" ca="1" si="207"/>
        <v>14.102127023114626</v>
      </c>
      <c r="Y475" s="314" t="str">
        <f t="shared" ca="1" si="225"/>
        <v/>
      </c>
      <c r="Z475" s="315" t="str">
        <f t="shared" ca="1" si="226"/>
        <v/>
      </c>
      <c r="AA475" s="316" t="str">
        <f t="shared" ca="1" si="227"/>
        <v/>
      </c>
      <c r="AC475" s="310" t="e">
        <f t="shared" ca="1" si="228"/>
        <v>#N/A</v>
      </c>
      <c r="AD475" s="323" t="e">
        <f t="shared" ca="1" si="229"/>
        <v>#N/A</v>
      </c>
      <c r="AE475" s="324">
        <f t="shared" ca="1" si="208"/>
        <v>1371.6139415942719</v>
      </c>
      <c r="AG475" s="306">
        <f t="shared" ca="1" si="230"/>
        <v>-11.520311534492787</v>
      </c>
      <c r="AH475" s="304">
        <f t="shared" ca="1" si="231"/>
        <v>-1.9480918194503682</v>
      </c>
    </row>
    <row r="476" spans="1:34" x14ac:dyDescent="0.2">
      <c r="A476" s="347">
        <f t="shared" ca="1" si="209"/>
        <v>0.1</v>
      </c>
      <c r="B476" s="304">
        <f t="shared" ca="1" si="210"/>
        <v>11.199999999999934</v>
      </c>
      <c r="D476" s="306">
        <f t="shared" ca="1" si="211"/>
        <v>-0.4180495783417606</v>
      </c>
      <c r="E476" s="307">
        <f t="shared" ca="1" si="212"/>
        <v>-11.647860850518024</v>
      </c>
      <c r="F476" s="304">
        <f t="shared" ca="1" si="213"/>
        <v>11.655360476749838</v>
      </c>
      <c r="G476" s="306">
        <f t="shared" ca="1" si="214"/>
        <v>15.63504247129381</v>
      </c>
      <c r="H476" s="307">
        <f t="shared" ca="1" si="215"/>
        <v>67.754944114949467</v>
      </c>
      <c r="I476" s="304">
        <f t="shared" ca="1" si="216"/>
        <v>69.53550895117607</v>
      </c>
      <c r="J476" s="306">
        <f t="shared" ca="1" si="217"/>
        <v>188.94199982435612</v>
      </c>
      <c r="K476" s="307">
        <f t="shared" ca="1" si="218"/>
        <v>1378.4476753100193</v>
      </c>
      <c r="L476" s="304">
        <f t="shared" ca="1" si="203"/>
        <v>1391.336434103996</v>
      </c>
      <c r="M476" s="306">
        <f t="shared" ca="1" si="219"/>
        <v>1.344007482000638</v>
      </c>
      <c r="N476" s="304">
        <f t="shared" ca="1" si="220"/>
        <v>77.005956352641519</v>
      </c>
      <c r="P476" s="310">
        <f t="shared" ca="1" si="221"/>
        <v>23</v>
      </c>
      <c r="Q476" s="304">
        <f t="shared" ca="1" si="222"/>
        <v>0</v>
      </c>
      <c r="R476" s="306">
        <f t="shared" ca="1" si="223"/>
        <v>0</v>
      </c>
      <c r="S476" s="307">
        <f t="shared" ca="1" si="224"/>
        <v>7.4819999999999904</v>
      </c>
      <c r="T476" s="304">
        <f t="shared" ca="1" si="204"/>
        <v>73.398419999999916</v>
      </c>
      <c r="U476" s="311">
        <f t="shared" ca="1" si="205"/>
        <v>0</v>
      </c>
      <c r="V476" s="306">
        <f t="shared" ca="1" si="206"/>
        <v>1.067027968737418</v>
      </c>
      <c r="W476" s="304">
        <f t="shared" ca="1" si="207"/>
        <v>13.639673742592477</v>
      </c>
      <c r="Y476" s="314" t="str">
        <f t="shared" ca="1" si="225"/>
        <v/>
      </c>
      <c r="Z476" s="315" t="str">
        <f t="shared" ca="1" si="226"/>
        <v/>
      </c>
      <c r="AA476" s="316" t="str">
        <f t="shared" ca="1" si="227"/>
        <v/>
      </c>
      <c r="AC476" s="310" t="e">
        <f t="shared" ca="1" si="228"/>
        <v>#N/A</v>
      </c>
      <c r="AD476" s="323" t="e">
        <f t="shared" ca="1" si="229"/>
        <v>#N/A</v>
      </c>
      <c r="AE476" s="324">
        <f t="shared" ca="1" si="208"/>
        <v>1378.4476753100193</v>
      </c>
      <c r="AG476" s="306">
        <f t="shared" ca="1" si="230"/>
        <v>-11.450462192592658</v>
      </c>
      <c r="AH476" s="304">
        <f t="shared" ca="1" si="231"/>
        <v>-1.884807140218477</v>
      </c>
    </row>
    <row r="477" spans="1:34" x14ac:dyDescent="0.2">
      <c r="A477" s="347">
        <f t="shared" ca="1" si="209"/>
        <v>0.1</v>
      </c>
      <c r="B477" s="304">
        <f t="shared" ca="1" si="210"/>
        <v>11.299999999999933</v>
      </c>
      <c r="D477" s="306">
        <f t="shared" ca="1" si="211"/>
        <v>-0.40990074338895488</v>
      </c>
      <c r="E477" s="307">
        <f t="shared" ca="1" si="212"/>
        <v>-11.586317653884612</v>
      </c>
      <c r="F477" s="304">
        <f t="shared" ca="1" si="213"/>
        <v>11.593566120747706</v>
      </c>
      <c r="G477" s="306">
        <f t="shared" ca="1" si="214"/>
        <v>15.594052396954915</v>
      </c>
      <c r="H477" s="307">
        <f t="shared" ca="1" si="215"/>
        <v>66.596312349561003</v>
      </c>
      <c r="I477" s="304">
        <f t="shared" ca="1" si="216"/>
        <v>68.397684819877242</v>
      </c>
      <c r="J477" s="306">
        <f t="shared" ca="1" si="217"/>
        <v>190.50345456776856</v>
      </c>
      <c r="K477" s="307">
        <f t="shared" ca="1" si="218"/>
        <v>1385.1652381332449</v>
      </c>
      <c r="L477" s="304">
        <f t="shared" ca="1" si="203"/>
        <v>1398.2039562005905</v>
      </c>
      <c r="M477" s="306">
        <f t="shared" ca="1" si="219"/>
        <v>1.3407825483338021</v>
      </c>
      <c r="N477" s="304">
        <f t="shared" ca="1" si="220"/>
        <v>76.821181264322163</v>
      </c>
      <c r="P477" s="310">
        <f t="shared" ca="1" si="221"/>
        <v>23</v>
      </c>
      <c r="Q477" s="304">
        <f t="shared" ca="1" si="222"/>
        <v>0</v>
      </c>
      <c r="R477" s="306">
        <f t="shared" ca="1" si="223"/>
        <v>0</v>
      </c>
      <c r="S477" s="307">
        <f t="shared" ca="1" si="224"/>
        <v>7.4819999999999904</v>
      </c>
      <c r="T477" s="304">
        <f t="shared" ca="1" si="204"/>
        <v>73.398419999999916</v>
      </c>
      <c r="U477" s="311">
        <f t="shared" ca="1" si="205"/>
        <v>0</v>
      </c>
      <c r="V477" s="306">
        <f t="shared" ca="1" si="206"/>
        <v>1.0663079910472233</v>
      </c>
      <c r="W477" s="304">
        <f t="shared" ca="1" si="207"/>
        <v>13.188043490789761</v>
      </c>
      <c r="Y477" s="314" t="str">
        <f t="shared" ca="1" si="225"/>
        <v/>
      </c>
      <c r="Z477" s="315" t="str">
        <f t="shared" ca="1" si="226"/>
        <v/>
      </c>
      <c r="AA477" s="316" t="str">
        <f t="shared" ca="1" si="227"/>
        <v/>
      </c>
      <c r="AC477" s="310" t="e">
        <f t="shared" ca="1" si="228"/>
        <v>#N/A</v>
      </c>
      <c r="AD477" s="323" t="e">
        <f t="shared" ca="1" si="229"/>
        <v>#N/A</v>
      </c>
      <c r="AE477" s="324">
        <f t="shared" ca="1" si="208"/>
        <v>1385.1652381332449</v>
      </c>
      <c r="AG477" s="306">
        <f t="shared" ca="1" si="230"/>
        <v>-11.381798056941092</v>
      </c>
      <c r="AH477" s="304">
        <f t="shared" ca="1" si="231"/>
        <v>-1.8229983617471925</v>
      </c>
    </row>
    <row r="478" spans="1:34" x14ac:dyDescent="0.2">
      <c r="A478" s="347">
        <f t="shared" ca="1" si="209"/>
        <v>0.1</v>
      </c>
      <c r="B478" s="304">
        <f t="shared" ca="1" si="210"/>
        <v>11.399999999999933</v>
      </c>
      <c r="D478" s="306">
        <f t="shared" ca="1" si="211"/>
        <v>-0.40186506560533819</v>
      </c>
      <c r="E478" s="307">
        <f t="shared" ca="1" si="212"/>
        <v>-11.526214025076378</v>
      </c>
      <c r="F478" s="304">
        <f t="shared" ca="1" si="213"/>
        <v>11.533217473143448</v>
      </c>
      <c r="G478" s="306">
        <f t="shared" ca="1" si="214"/>
        <v>15.553865890394381</v>
      </c>
      <c r="H478" s="307">
        <f t="shared" ca="1" si="215"/>
        <v>65.443690947053369</v>
      </c>
      <c r="I478" s="304">
        <f t="shared" ca="1" si="216"/>
        <v>67.266629385675401</v>
      </c>
      <c r="J478" s="306">
        <f t="shared" ca="1" si="217"/>
        <v>192.06085048213603</v>
      </c>
      <c r="K478" s="307">
        <f t="shared" ca="1" si="218"/>
        <v>1391.7672382980757</v>
      </c>
      <c r="L478" s="304">
        <f t="shared" ca="1" si="203"/>
        <v>1404.956730966393</v>
      </c>
      <c r="M478" s="306">
        <f t="shared" ca="1" si="219"/>
        <v>1.3374575783532132</v>
      </c>
      <c r="N478" s="304">
        <f t="shared" ca="1" si="220"/>
        <v>76.630674517426726</v>
      </c>
      <c r="P478" s="310">
        <f t="shared" ca="1" si="221"/>
        <v>23</v>
      </c>
      <c r="Q478" s="304">
        <f t="shared" ca="1" si="222"/>
        <v>0</v>
      </c>
      <c r="R478" s="306">
        <f t="shared" ca="1" si="223"/>
        <v>0</v>
      </c>
      <c r="S478" s="307">
        <f t="shared" ca="1" si="224"/>
        <v>7.4819999999999904</v>
      </c>
      <c r="T478" s="304">
        <f t="shared" ca="1" si="204"/>
        <v>73.398419999999916</v>
      </c>
      <c r="U478" s="311">
        <f t="shared" ca="1" si="205"/>
        <v>0</v>
      </c>
      <c r="V478" s="306">
        <f t="shared" ca="1" si="206"/>
        <v>1.0656008397601859</v>
      </c>
      <c r="W478" s="304">
        <f t="shared" ca="1" si="207"/>
        <v>12.747023621371165</v>
      </c>
      <c r="Y478" s="314" t="str">
        <f t="shared" ca="1" si="225"/>
        <v/>
      </c>
      <c r="Z478" s="315" t="str">
        <f t="shared" ca="1" si="226"/>
        <v/>
      </c>
      <c r="AA478" s="316" t="str">
        <f t="shared" ca="1" si="227"/>
        <v/>
      </c>
      <c r="AC478" s="310" t="e">
        <f t="shared" ca="1" si="228"/>
        <v>#N/A</v>
      </c>
      <c r="AD478" s="323" t="e">
        <f t="shared" ca="1" si="229"/>
        <v>#N/A</v>
      </c>
      <c r="AE478" s="324">
        <f t="shared" ca="1" si="208"/>
        <v>1391.7672382980757</v>
      </c>
      <c r="AG478" s="306">
        <f t="shared" ca="1" si="230"/>
        <v>-11.314272644598873</v>
      </c>
      <c r="AH478" s="304">
        <f t="shared" ca="1" si="231"/>
        <v>-1.7626361254731058</v>
      </c>
    </row>
    <row r="479" spans="1:34" x14ac:dyDescent="0.2">
      <c r="A479" s="347">
        <f t="shared" ca="1" si="209"/>
        <v>0.1</v>
      </c>
      <c r="B479" s="304">
        <f t="shared" ca="1" si="210"/>
        <v>11.499999999999932</v>
      </c>
      <c r="D479" s="306">
        <f t="shared" ca="1" si="211"/>
        <v>-0.39393971854078025</v>
      </c>
      <c r="E479" s="307">
        <f t="shared" ca="1" si="212"/>
        <v>-11.46752163311846</v>
      </c>
      <c r="F479" s="304">
        <f t="shared" ca="1" si="213"/>
        <v>11.47428607399536</v>
      </c>
      <c r="G479" s="306">
        <f t="shared" ca="1" si="214"/>
        <v>15.514471918540302</v>
      </c>
      <c r="H479" s="307">
        <f t="shared" ca="1" si="215"/>
        <v>64.296938783741524</v>
      </c>
      <c r="I479" s="304">
        <f t="shared" ca="1" si="216"/>
        <v>66.142234433615712</v>
      </c>
      <c r="J479" s="306">
        <f t="shared" ca="1" si="217"/>
        <v>193.61426737258276</v>
      </c>
      <c r="K479" s="307">
        <f t="shared" ca="1" si="218"/>
        <v>1398.2542697846154</v>
      </c>
      <c r="L479" s="304">
        <f t="shared" ca="1" si="203"/>
        <v>1411.5953696088443</v>
      </c>
      <c r="M479" s="306">
        <f t="shared" ca="1" si="219"/>
        <v>1.3340280872545209</v>
      </c>
      <c r="N479" s="304">
        <f t="shared" ca="1" si="220"/>
        <v>76.43417915159398</v>
      </c>
      <c r="P479" s="310">
        <f t="shared" ca="1" si="221"/>
        <v>23</v>
      </c>
      <c r="Q479" s="304">
        <f t="shared" ca="1" si="222"/>
        <v>0</v>
      </c>
      <c r="R479" s="306">
        <f t="shared" ca="1" si="223"/>
        <v>0</v>
      </c>
      <c r="S479" s="307">
        <f t="shared" ca="1" si="224"/>
        <v>7.4819999999999904</v>
      </c>
      <c r="T479" s="304">
        <f t="shared" ca="1" si="204"/>
        <v>73.398419999999916</v>
      </c>
      <c r="U479" s="311">
        <f t="shared" ca="1" si="205"/>
        <v>0</v>
      </c>
      <c r="V479" s="306">
        <f t="shared" ca="1" si="206"/>
        <v>1.0649064279832587</v>
      </c>
      <c r="W479" s="304">
        <f t="shared" ca="1" si="207"/>
        <v>12.316408268847372</v>
      </c>
      <c r="Y479" s="314" t="str">
        <f t="shared" ca="1" si="225"/>
        <v/>
      </c>
      <c r="Z479" s="315" t="str">
        <f t="shared" ca="1" si="226"/>
        <v/>
      </c>
      <c r="AA479" s="316" t="str">
        <f t="shared" ca="1" si="227"/>
        <v/>
      </c>
      <c r="AC479" s="310" t="e">
        <f t="shared" ca="1" si="228"/>
        <v>#N/A</v>
      </c>
      <c r="AD479" s="323" t="e">
        <f t="shared" ca="1" si="229"/>
        <v>#N/A</v>
      </c>
      <c r="AE479" s="324">
        <f t="shared" ca="1" si="208"/>
        <v>1398.2542697846154</v>
      </c>
      <c r="AG479" s="306">
        <f t="shared" ca="1" si="230"/>
        <v>-11.247839146206086</v>
      </c>
      <c r="AH479" s="304">
        <f t="shared" ca="1" si="231"/>
        <v>-1.7036920103409758</v>
      </c>
    </row>
    <row r="480" spans="1:34" x14ac:dyDescent="0.2">
      <c r="A480" s="347">
        <f t="shared" ca="1" si="209"/>
        <v>0.1</v>
      </c>
      <c r="B480" s="304">
        <f t="shared" ca="1" si="210"/>
        <v>11.599999999999932</v>
      </c>
      <c r="D480" s="306">
        <f t="shared" ca="1" si="211"/>
        <v>-0.38612196542100341</v>
      </c>
      <c r="E480" s="307">
        <f t="shared" ca="1" si="212"/>
        <v>-11.410213046508131</v>
      </c>
      <c r="F480" s="304">
        <f t="shared" ca="1" si="213"/>
        <v>11.416744366888704</v>
      </c>
      <c r="G480" s="306">
        <f t="shared" ca="1" si="214"/>
        <v>15.475859721998201</v>
      </c>
      <c r="H480" s="307">
        <f t="shared" ca="1" si="215"/>
        <v>63.155917479090711</v>
      </c>
      <c r="I480" s="304">
        <f t="shared" ca="1" si="216"/>
        <v>65.024396550530795</v>
      </c>
      <c r="J480" s="306">
        <f t="shared" ca="1" si="217"/>
        <v>195.1637839546097</v>
      </c>
      <c r="K480" s="307">
        <f t="shared" ca="1" si="218"/>
        <v>1404.6269125977569</v>
      </c>
      <c r="L480" s="304">
        <f t="shared" ca="1" si="203"/>
        <v>1418.1204695516487</v>
      </c>
      <c r="M480" s="306">
        <f t="shared" ca="1" si="219"/>
        <v>1.3304893222913998</v>
      </c>
      <c r="N480" s="304">
        <f t="shared" ca="1" si="220"/>
        <v>76.231422854518371</v>
      </c>
      <c r="P480" s="310">
        <f t="shared" ca="1" si="221"/>
        <v>23</v>
      </c>
      <c r="Q480" s="304">
        <f t="shared" ca="1" si="222"/>
        <v>0</v>
      </c>
      <c r="R480" s="306">
        <f t="shared" ca="1" si="223"/>
        <v>0</v>
      </c>
      <c r="S480" s="307">
        <f t="shared" ca="1" si="224"/>
        <v>7.4819999999999904</v>
      </c>
      <c r="T480" s="304">
        <f t="shared" ca="1" si="204"/>
        <v>73.398419999999916</v>
      </c>
      <c r="U480" s="311">
        <f t="shared" ca="1" si="205"/>
        <v>0</v>
      </c>
      <c r="V480" s="306">
        <f t="shared" ca="1" si="206"/>
        <v>1.0642246709126666</v>
      </c>
      <c r="W480" s="304">
        <f t="shared" ca="1" si="207"/>
        <v>11.895998124784073</v>
      </c>
      <c r="Y480" s="314" t="str">
        <f t="shared" ca="1" si="225"/>
        <v/>
      </c>
      <c r="Z480" s="315" t="str">
        <f t="shared" ca="1" si="226"/>
        <v/>
      </c>
      <c r="AA480" s="316" t="str">
        <f t="shared" ca="1" si="227"/>
        <v/>
      </c>
      <c r="AC480" s="310" t="e">
        <f t="shared" ca="1" si="228"/>
        <v>#N/A</v>
      </c>
      <c r="AD480" s="323" t="e">
        <f t="shared" ca="1" si="229"/>
        <v>#N/A</v>
      </c>
      <c r="AE480" s="324">
        <f t="shared" ca="1" si="208"/>
        <v>1404.6269125977569</v>
      </c>
      <c r="AG480" s="306">
        <f t="shared" ca="1" si="230"/>
        <v>-11.182450282848805</v>
      </c>
      <c r="AH480" s="304">
        <f t="shared" ca="1" si="231"/>
        <v>-1.646138501583452</v>
      </c>
    </row>
    <row r="481" spans="1:34" x14ac:dyDescent="0.2">
      <c r="A481" s="347">
        <f t="shared" ca="1" si="209"/>
        <v>0.1</v>
      </c>
      <c r="B481" s="304">
        <f t="shared" ca="1" si="210"/>
        <v>11.699999999999932</v>
      </c>
      <c r="D481" s="306">
        <f t="shared" ca="1" si="211"/>
        <v>-0.37840915699261657</v>
      </c>
      <c r="E481" s="307">
        <f t="shared" ca="1" si="212"/>
        <v>-11.354261703172909</v>
      </c>
      <c r="F481" s="304">
        <f t="shared" ca="1" si="213"/>
        <v>11.360565668761165</v>
      </c>
      <c r="G481" s="306">
        <f t="shared" ca="1" si="214"/>
        <v>15.43801880629894</v>
      </c>
      <c r="H481" s="307">
        <f t="shared" ca="1" si="215"/>
        <v>62.020491308773423</v>
      </c>
      <c r="I481" s="304">
        <f t="shared" ca="1" si="216"/>
        <v>63.913017194037081</v>
      </c>
      <c r="J481" s="306">
        <f t="shared" ca="1" si="217"/>
        <v>196.70947788102455</v>
      </c>
      <c r="K481" s="307">
        <f t="shared" ca="1" si="218"/>
        <v>1410.8857330371502</v>
      </c>
      <c r="L481" s="304">
        <f t="shared" ca="1" si="203"/>
        <v>1424.532614711226</v>
      </c>
      <c r="M481" s="306">
        <f t="shared" ca="1" si="219"/>
        <v>1.3268362429295883</v>
      </c>
      <c r="N481" s="304">
        <f t="shared" ca="1" si="220"/>
        <v>76.022116824860234</v>
      </c>
      <c r="P481" s="310">
        <f t="shared" ca="1" si="221"/>
        <v>23</v>
      </c>
      <c r="Q481" s="304">
        <f t="shared" ca="1" si="222"/>
        <v>0</v>
      </c>
      <c r="R481" s="306">
        <f t="shared" ca="1" si="223"/>
        <v>0</v>
      </c>
      <c r="S481" s="307">
        <f t="shared" ca="1" si="224"/>
        <v>7.4819999999999904</v>
      </c>
      <c r="T481" s="304">
        <f t="shared" ca="1" si="204"/>
        <v>73.398419999999916</v>
      </c>
      <c r="U481" s="311">
        <f t="shared" ca="1" si="205"/>
        <v>0</v>
      </c>
      <c r="V481" s="306">
        <f t="shared" ca="1" si="206"/>
        <v>1.0635554857916341</v>
      </c>
      <c r="W481" s="304">
        <f t="shared" ca="1" si="207"/>
        <v>11.485600223360919</v>
      </c>
      <c r="Y481" s="314" t="str">
        <f t="shared" ca="1" si="225"/>
        <v/>
      </c>
      <c r="Z481" s="315" t="str">
        <f t="shared" ca="1" si="226"/>
        <v/>
      </c>
      <c r="AA481" s="316" t="str">
        <f t="shared" ca="1" si="227"/>
        <v/>
      </c>
      <c r="AC481" s="310" t="e">
        <f t="shared" ca="1" si="228"/>
        <v>#N/A</v>
      </c>
      <c r="AD481" s="323" t="e">
        <f t="shared" ca="1" si="229"/>
        <v>#N/A</v>
      </c>
      <c r="AE481" s="324">
        <f t="shared" ca="1" si="208"/>
        <v>1410.8857330371502</v>
      </c>
      <c r="AG481" s="306">
        <f t="shared" ca="1" si="230"/>
        <v>-11.118058152695369</v>
      </c>
      <c r="AH481" s="304">
        <f t="shared" ca="1" si="231"/>
        <v>-1.5899489608104904</v>
      </c>
    </row>
    <row r="482" spans="1:34" x14ac:dyDescent="0.2">
      <c r="A482" s="347">
        <f t="shared" ca="1" si="209"/>
        <v>0.1</v>
      </c>
      <c r="B482" s="304">
        <f t="shared" ca="1" si="210"/>
        <v>11.799999999999931</v>
      </c>
      <c r="D482" s="306">
        <f t="shared" ca="1" si="211"/>
        <v>-0.37079872955176935</v>
      </c>
      <c r="E482" s="307">
        <f t="shared" ca="1" si="212"/>
        <v>-11.299641881643943</v>
      </c>
      <c r="F482" s="304">
        <f t="shared" ca="1" si="213"/>
        <v>11.305724140949092</v>
      </c>
      <c r="G482" s="306">
        <f t="shared" ca="1" si="214"/>
        <v>15.400938933343763</v>
      </c>
      <c r="H482" s="307">
        <f t="shared" ca="1" si="215"/>
        <v>60.890527120609029</v>
      </c>
      <c r="I482" s="304">
        <f t="shared" ca="1" si="216"/>
        <v>62.808002778739969</v>
      </c>
      <c r="J482" s="306">
        <f t="shared" ca="1" si="217"/>
        <v>198.2514257680067</v>
      </c>
      <c r="K482" s="307">
        <f t="shared" ca="1" si="218"/>
        <v>1417.0312839586193</v>
      </c>
      <c r="L482" s="304">
        <f t="shared" ca="1" si="203"/>
        <v>1430.8323757647017</v>
      </c>
      <c r="M482" s="306">
        <f t="shared" ca="1" si="219"/>
        <v>1.3230634992553776</v>
      </c>
      <c r="N482" s="304">
        <f t="shared" ca="1" si="220"/>
        <v>75.805954535143272</v>
      </c>
      <c r="P482" s="310">
        <f t="shared" ca="1" si="221"/>
        <v>23</v>
      </c>
      <c r="Q482" s="304">
        <f t="shared" ca="1" si="222"/>
        <v>0</v>
      </c>
      <c r="R482" s="306">
        <f t="shared" ca="1" si="223"/>
        <v>0</v>
      </c>
      <c r="S482" s="307">
        <f t="shared" ca="1" si="224"/>
        <v>7.4819999999999904</v>
      </c>
      <c r="T482" s="304">
        <f t="shared" ca="1" si="204"/>
        <v>73.398419999999916</v>
      </c>
      <c r="U482" s="311">
        <f t="shared" ca="1" si="205"/>
        <v>0</v>
      </c>
      <c r="V482" s="306">
        <f t="shared" ca="1" si="206"/>
        <v>1.0628987918694903</v>
      </c>
      <c r="W482" s="304">
        <f t="shared" ca="1" si="207"/>
        <v>11.085027735855526</v>
      </c>
      <c r="Y482" s="314" t="str">
        <f t="shared" ca="1" si="225"/>
        <v/>
      </c>
      <c r="Z482" s="315" t="str">
        <f t="shared" ca="1" si="226"/>
        <v/>
      </c>
      <c r="AA482" s="316" t="str">
        <f t="shared" ca="1" si="227"/>
        <v/>
      </c>
      <c r="AC482" s="310" t="e">
        <f t="shared" ca="1" si="228"/>
        <v>#N/A</v>
      </c>
      <c r="AD482" s="323" t="e">
        <f t="shared" ca="1" si="229"/>
        <v>#N/A</v>
      </c>
      <c r="AE482" s="324">
        <f t="shared" ca="1" si="208"/>
        <v>1417.0312839586193</v>
      </c>
      <c r="AG482" s="306">
        <f t="shared" ca="1" si="230"/>
        <v>-11.054614065987801</v>
      </c>
      <c r="AH482" s="304">
        <f t="shared" ca="1" si="231"/>
        <v>-1.5350975973484273</v>
      </c>
    </row>
    <row r="483" spans="1:34" x14ac:dyDescent="0.2">
      <c r="A483" s="347">
        <f t="shared" ca="1" si="209"/>
        <v>0.1</v>
      </c>
      <c r="B483" s="304">
        <f t="shared" ca="1" si="210"/>
        <v>11.899999999999931</v>
      </c>
      <c r="D483" s="306">
        <f t="shared" ca="1" si="211"/>
        <v>-0.36328820315825844</v>
      </c>
      <c r="E483" s="307">
        <f t="shared" ca="1" si="212"/>
        <v>-11.246328673384495</v>
      </c>
      <c r="F483" s="304">
        <f t="shared" ca="1" si="213"/>
        <v>11.252194761394072</v>
      </c>
      <c r="G483" s="306">
        <f t="shared" ca="1" si="214"/>
        <v>15.364610113027938</v>
      </c>
      <c r="H483" s="307">
        <f t="shared" ca="1" si="215"/>
        <v>59.765894253270581</v>
      </c>
      <c r="I483" s="304">
        <f t="shared" ca="1" si="216"/>
        <v>61.709264781056028</v>
      </c>
      <c r="J483" s="306">
        <f t="shared" ca="1" si="217"/>
        <v>199.78970322032529</v>
      </c>
      <c r="K483" s="307">
        <f t="shared" ca="1" si="218"/>
        <v>1423.0641050273132</v>
      </c>
      <c r="L483" s="304">
        <f t="shared" ca="1" si="203"/>
        <v>1437.020310409722</v>
      </c>
      <c r="M483" s="306">
        <f t="shared" ca="1" si="219"/>
        <v>1.3191654084622753</v>
      </c>
      <c r="N483" s="304">
        <f t="shared" ca="1" si="220"/>
        <v>75.582610384539706</v>
      </c>
      <c r="P483" s="310">
        <f t="shared" ca="1" si="221"/>
        <v>23</v>
      </c>
      <c r="Q483" s="304">
        <f t="shared" ca="1" si="222"/>
        <v>0</v>
      </c>
      <c r="R483" s="306">
        <f t="shared" ca="1" si="223"/>
        <v>0</v>
      </c>
      <c r="S483" s="307">
        <f t="shared" ca="1" si="224"/>
        <v>7.4819999999999904</v>
      </c>
      <c r="T483" s="304">
        <f t="shared" ca="1" si="204"/>
        <v>73.398419999999916</v>
      </c>
      <c r="U483" s="311">
        <f t="shared" ca="1" si="205"/>
        <v>0</v>
      </c>
      <c r="V483" s="306">
        <f t="shared" ca="1" si="206"/>
        <v>1.0622545103620944</v>
      </c>
      <c r="W483" s="304">
        <f t="shared" ca="1" si="207"/>
        <v>10.694099773649217</v>
      </c>
      <c r="Y483" s="314" t="str">
        <f t="shared" ca="1" si="225"/>
        <v/>
      </c>
      <c r="Z483" s="315" t="str">
        <f t="shared" ca="1" si="226"/>
        <v/>
      </c>
      <c r="AA483" s="316" t="str">
        <f t="shared" ca="1" si="227"/>
        <v/>
      </c>
      <c r="AC483" s="310" t="e">
        <f t="shared" ca="1" si="228"/>
        <v>#N/A</v>
      </c>
      <c r="AD483" s="323" t="e">
        <f t="shared" ca="1" si="229"/>
        <v>#N/A</v>
      </c>
      <c r="AE483" s="324">
        <f t="shared" ca="1" si="208"/>
        <v>1423.0641050273132</v>
      </c>
      <c r="AG483" s="306">
        <f t="shared" ca="1" si="230"/>
        <v>-10.992068366799554</v>
      </c>
      <c r="AH483" s="304">
        <f t="shared" ca="1" si="231"/>
        <v>-1.4815594407719246</v>
      </c>
    </row>
    <row r="484" spans="1:34" x14ac:dyDescent="0.2">
      <c r="A484" s="347">
        <f t="shared" ca="1" si="209"/>
        <v>0.1</v>
      </c>
      <c r="B484" s="304">
        <f t="shared" ca="1" si="210"/>
        <v>11.999999999999931</v>
      </c>
      <c r="D484" s="306">
        <f t="shared" ca="1" si="211"/>
        <v>-0.35587518003802238</v>
      </c>
      <c r="E484" s="307">
        <f t="shared" ca="1" si="212"/>
        <v>-11.194297956215728</v>
      </c>
      <c r="F484" s="304">
        <f t="shared" ca="1" si="213"/>
        <v>11.199953297951859</v>
      </c>
      <c r="G484" s="306">
        <f t="shared" ca="1" si="214"/>
        <v>15.329022595024135</v>
      </c>
      <c r="H484" s="307">
        <f t="shared" ca="1" si="215"/>
        <v>58.64646445764901</v>
      </c>
      <c r="I484" s="304">
        <f t="shared" ca="1" si="216"/>
        <v>60.616719864250733</v>
      </c>
      <c r="J484" s="306">
        <f t="shared" ca="1" si="217"/>
        <v>201.32438485572789</v>
      </c>
      <c r="K484" s="307">
        <f t="shared" ca="1" si="218"/>
        <v>1428.9847229628592</v>
      </c>
      <c r="L484" s="304">
        <f t="shared" ca="1" si="203"/>
        <v>1443.0969636163666</v>
      </c>
      <c r="M484" s="306">
        <f t="shared" ca="1" si="219"/>
        <v>1.3151359292197078</v>
      </c>
      <c r="N484" s="304">
        <f t="shared" ca="1" si="220"/>
        <v>75.351738230305017</v>
      </c>
      <c r="P484" s="310">
        <f t="shared" ca="1" si="221"/>
        <v>23</v>
      </c>
      <c r="Q484" s="304">
        <f t="shared" ca="1" si="222"/>
        <v>0</v>
      </c>
      <c r="R484" s="306">
        <f t="shared" ca="1" si="223"/>
        <v>0</v>
      </c>
      <c r="S484" s="307">
        <f t="shared" ca="1" si="224"/>
        <v>7.4819999999999904</v>
      </c>
      <c r="T484" s="304">
        <f t="shared" ca="1" si="204"/>
        <v>73.398419999999916</v>
      </c>
      <c r="U484" s="311">
        <f t="shared" ca="1" si="205"/>
        <v>0</v>
      </c>
      <c r="V484" s="306">
        <f t="shared" ca="1" si="206"/>
        <v>1.0616225644135449</v>
      </c>
      <c r="W484" s="304">
        <f t="shared" ca="1" si="207"/>
        <v>10.31264119937236</v>
      </c>
      <c r="Y484" s="314" t="str">
        <f t="shared" ca="1" si="225"/>
        <v/>
      </c>
      <c r="Z484" s="315" t="str">
        <f t="shared" ca="1" si="226"/>
        <v/>
      </c>
      <c r="AA484" s="316" t="str">
        <f t="shared" ca="1" si="227"/>
        <v/>
      </c>
      <c r="AC484" s="310">
        <f t="shared" ca="1" si="228"/>
        <v>11.999999999999931</v>
      </c>
      <c r="AD484" s="323">
        <f t="shared" ca="1" si="229"/>
        <v>201.32438485572789</v>
      </c>
      <c r="AE484" s="324">
        <f t="shared" ca="1" si="208"/>
        <v>1428.9847229628592</v>
      </c>
      <c r="AG484" s="306">
        <f t="shared" ca="1" si="230"/>
        <v>-10.930370239770619</v>
      </c>
      <c r="AH484" s="304">
        <f t="shared" ca="1" si="231"/>
        <v>-1.4293103145748771</v>
      </c>
    </row>
    <row r="485" spans="1:34" x14ac:dyDescent="0.2">
      <c r="A485" s="347">
        <f t="shared" ca="1" si="209"/>
        <v>0.1</v>
      </c>
      <c r="B485" s="304">
        <f t="shared" ca="1" si="210"/>
        <v>12.09999999999993</v>
      </c>
      <c r="D485" s="306">
        <f t="shared" ca="1" si="211"/>
        <v>-0.34855734317821657</v>
      </c>
      <c r="E485" s="307">
        <f t="shared" ca="1" si="212"/>
        <v>-11.143526368784224</v>
      </c>
      <c r="F485" s="304">
        <f t="shared" ca="1" si="213"/>
        <v>11.148976282747793</v>
      </c>
      <c r="G485" s="306">
        <f t="shared" ca="1" si="214"/>
        <v>15.294166860706314</v>
      </c>
      <c r="H485" s="307">
        <f t="shared" ca="1" si="215"/>
        <v>57.532111820770588</v>
      </c>
      <c r="I485" s="304">
        <f t="shared" ca="1" si="216"/>
        <v>59.530290025505316</v>
      </c>
      <c r="J485" s="306">
        <f t="shared" ca="1" si="217"/>
        <v>202.85554432851441</v>
      </c>
      <c r="K485" s="307">
        <f t="shared" ca="1" si="218"/>
        <v>1434.7936517767803</v>
      </c>
      <c r="L485" s="304">
        <f t="shared" ca="1" si="203"/>
        <v>1449.0628678714277</v>
      </c>
      <c r="M485" s="306">
        <f t="shared" ca="1" si="219"/>
        <v>1.3109686337053397</v>
      </c>
      <c r="N485" s="304">
        <f t="shared" ca="1" si="220"/>
        <v>75.112969785347929</v>
      </c>
      <c r="P485" s="310">
        <f t="shared" ca="1" si="221"/>
        <v>23</v>
      </c>
      <c r="Q485" s="304">
        <f t="shared" ca="1" si="222"/>
        <v>0</v>
      </c>
      <c r="R485" s="306">
        <f t="shared" ca="1" si="223"/>
        <v>0</v>
      </c>
      <c r="S485" s="307">
        <f t="shared" ca="1" si="224"/>
        <v>7.4819999999999904</v>
      </c>
      <c r="T485" s="304">
        <f t="shared" ca="1" si="204"/>
        <v>73.398419999999916</v>
      </c>
      <c r="U485" s="311">
        <f t="shared" ca="1" si="205"/>
        <v>0</v>
      </c>
      <c r="V485" s="306">
        <f t="shared" ca="1" si="206"/>
        <v>1.0610028790591262</v>
      </c>
      <c r="W485" s="304">
        <f t="shared" ca="1" si="207"/>
        <v>9.9404824458268024</v>
      </c>
      <c r="Y485" s="314" t="str">
        <f t="shared" ca="1" si="225"/>
        <v/>
      </c>
      <c r="Z485" s="315" t="str">
        <f t="shared" ca="1" si="226"/>
        <v/>
      </c>
      <c r="AA485" s="316" t="str">
        <f t="shared" ca="1" si="227"/>
        <v/>
      </c>
      <c r="AC485" s="310" t="e">
        <f t="shared" ca="1" si="228"/>
        <v>#N/A</v>
      </c>
      <c r="AD485" s="323" t="e">
        <f t="shared" ca="1" si="229"/>
        <v>#N/A</v>
      </c>
      <c r="AE485" s="324">
        <f t="shared" ca="1" si="208"/>
        <v>1434.7936517767803</v>
      </c>
      <c r="AG485" s="306">
        <f t="shared" ca="1" si="230"/>
        <v>-10.869467499801067</v>
      </c>
      <c r="AH485" s="304">
        <f t="shared" ca="1" si="231"/>
        <v>-1.3783268109292131</v>
      </c>
    </row>
    <row r="486" spans="1:34" x14ac:dyDescent="0.2">
      <c r="A486" s="347">
        <f t="shared" ca="1" si="209"/>
        <v>0.1</v>
      </c>
      <c r="B486" s="304">
        <f t="shared" ca="1" si="210"/>
        <v>12.19999999999993</v>
      </c>
      <c r="D486" s="306">
        <f t="shared" ca="1" si="211"/>
        <v>-0.3413324551204116</v>
      </c>
      <c r="E486" s="307">
        <f t="shared" ca="1" si="212"/>
        <v>-11.093991286017577</v>
      </c>
      <c r="F486" s="304">
        <f t="shared" ca="1" si="213"/>
        <v>11.099240987524889</v>
      </c>
      <c r="G486" s="306">
        <f t="shared" ca="1" si="214"/>
        <v>15.260033615194272</v>
      </c>
      <c r="H486" s="307">
        <f t="shared" ca="1" si="215"/>
        <v>56.42271269216883</v>
      </c>
      <c r="I486" s="304">
        <f t="shared" ca="1" si="216"/>
        <v>58.449902767069581</v>
      </c>
      <c r="J486" s="306">
        <f t="shared" ca="1" si="217"/>
        <v>204.38325435230945</v>
      </c>
      <c r="K486" s="307">
        <f t="shared" ca="1" si="218"/>
        <v>1440.4913930024272</v>
      </c>
      <c r="L486" s="304">
        <f t="shared" ca="1" si="203"/>
        <v>1454.9185434153053</v>
      </c>
      <c r="M486" s="306">
        <f t="shared" ca="1" si="219"/>
        <v>1.3066566770575827</v>
      </c>
      <c r="N486" s="304">
        <f t="shared" ca="1" si="220"/>
        <v>74.865912867988072</v>
      </c>
      <c r="P486" s="310">
        <f t="shared" ca="1" si="221"/>
        <v>23</v>
      </c>
      <c r="Q486" s="304">
        <f t="shared" ca="1" si="222"/>
        <v>0</v>
      </c>
      <c r="R486" s="306">
        <f t="shared" ca="1" si="223"/>
        <v>0</v>
      </c>
      <c r="S486" s="307">
        <f t="shared" ca="1" si="224"/>
        <v>7.4819999999999904</v>
      </c>
      <c r="T486" s="304">
        <f t="shared" ca="1" si="204"/>
        <v>73.398419999999916</v>
      </c>
      <c r="U486" s="311">
        <f t="shared" ca="1" si="205"/>
        <v>0</v>
      </c>
      <c r="V486" s="306">
        <f t="shared" ca="1" si="206"/>
        <v>1.0603953811894546</v>
      </c>
      <c r="W486" s="304">
        <f t="shared" ca="1" si="207"/>
        <v>9.5774593423414682</v>
      </c>
      <c r="Y486" s="314" t="str">
        <f t="shared" ca="1" si="225"/>
        <v/>
      </c>
      <c r="Z486" s="315" t="str">
        <f t="shared" ca="1" si="226"/>
        <v/>
      </c>
      <c r="AA486" s="316" t="str">
        <f t="shared" ca="1" si="227"/>
        <v/>
      </c>
      <c r="AC486" s="310" t="e">
        <f t="shared" ca="1" si="228"/>
        <v>#N/A</v>
      </c>
      <c r="AD486" s="323" t="e">
        <f t="shared" ca="1" si="229"/>
        <v>#N/A</v>
      </c>
      <c r="AE486" s="324">
        <f t="shared" ca="1" si="208"/>
        <v>1440.4913930024272</v>
      </c>
      <c r="AG486" s="306">
        <f t="shared" ca="1" si="230"/>
        <v>-10.809306362420022</v>
      </c>
      <c r="AH486" s="304">
        <f t="shared" ca="1" si="231"/>
        <v>-1.3285862664831349</v>
      </c>
    </row>
    <row r="487" spans="1:34" x14ac:dyDescent="0.2">
      <c r="A487" s="347">
        <f t="shared" ca="1" si="209"/>
        <v>0.1</v>
      </c>
      <c r="B487" s="304">
        <f t="shared" ca="1" si="210"/>
        <v>12.29999999999993</v>
      </c>
      <c r="D487" s="306">
        <f t="shared" ca="1" si="211"/>
        <v>-0.33419835695893763</v>
      </c>
      <c r="E487" s="307">
        <f t="shared" ca="1" si="212"/>
        <v>-11.045670795516067</v>
      </c>
      <c r="F487" s="304">
        <f t="shared" ca="1" si="213"/>
        <v>11.050725399932377</v>
      </c>
      <c r="G487" s="306">
        <f t="shared" ca="1" si="214"/>
        <v>15.226613779498379</v>
      </c>
      <c r="H487" s="307">
        <f t="shared" ca="1" si="215"/>
        <v>55.318145612617222</v>
      </c>
      <c r="I487" s="304">
        <f t="shared" ca="1" si="216"/>
        <v>57.375491293833228</v>
      </c>
      <c r="J487" s="306">
        <f t="shared" ca="1" si="217"/>
        <v>205.90758672204407</v>
      </c>
      <c r="K487" s="307">
        <f t="shared" ca="1" si="218"/>
        <v>1446.0784359176666</v>
      </c>
      <c r="L487" s="304">
        <f t="shared" ca="1" si="203"/>
        <v>1460.664498471768</v>
      </c>
      <c r="M487" s="306">
        <f t="shared" ca="1" si="219"/>
        <v>1.3021927639767685</v>
      </c>
      <c r="N487" s="304">
        <f t="shared" ca="1" si="220"/>
        <v>74.610149488344177</v>
      </c>
      <c r="P487" s="310">
        <f t="shared" ca="1" si="221"/>
        <v>23</v>
      </c>
      <c r="Q487" s="304">
        <f t="shared" ca="1" si="222"/>
        <v>0</v>
      </c>
      <c r="R487" s="306">
        <f t="shared" ca="1" si="223"/>
        <v>0</v>
      </c>
      <c r="S487" s="307">
        <f t="shared" ca="1" si="224"/>
        <v>7.4819999999999904</v>
      </c>
      <c r="T487" s="304">
        <f t="shared" ca="1" si="204"/>
        <v>73.398419999999916</v>
      </c>
      <c r="U487" s="311">
        <f t="shared" ca="1" si="205"/>
        <v>0</v>
      </c>
      <c r="V487" s="306">
        <f t="shared" ca="1" si="206"/>
        <v>1.0597999995157772</v>
      </c>
      <c r="W487" s="304">
        <f t="shared" ca="1" si="207"/>
        <v>9.2234129482346052</v>
      </c>
      <c r="Y487" s="314" t="str">
        <f t="shared" ca="1" si="225"/>
        <v/>
      </c>
      <c r="Z487" s="315" t="str">
        <f t="shared" ca="1" si="226"/>
        <v/>
      </c>
      <c r="AA487" s="316" t="str">
        <f t="shared" ca="1" si="227"/>
        <v/>
      </c>
      <c r="AC487" s="310" t="e">
        <f t="shared" ca="1" si="228"/>
        <v>#N/A</v>
      </c>
      <c r="AD487" s="323" t="e">
        <f t="shared" ca="1" si="229"/>
        <v>#N/A</v>
      </c>
      <c r="AE487" s="324">
        <f t="shared" ca="1" si="208"/>
        <v>1446.0784359176666</v>
      </c>
      <c r="AG487" s="306">
        <f t="shared" ca="1" si="230"/>
        <v>-10.749831192243068</v>
      </c>
      <c r="AH487" s="304">
        <f t="shared" ca="1" si="231"/>
        <v>-1.2800667391528309</v>
      </c>
    </row>
    <row r="488" spans="1:34" x14ac:dyDescent="0.2">
      <c r="A488" s="347">
        <f t="shared" ca="1" si="209"/>
        <v>0.1</v>
      </c>
      <c r="B488" s="304">
        <f t="shared" ca="1" si="210"/>
        <v>12.399999999999929</v>
      </c>
      <c r="D488" s="306">
        <f t="shared" ca="1" si="211"/>
        <v>-0.32715296755305873</v>
      </c>
      <c r="E488" s="307">
        <f t="shared" ca="1" si="212"/>
        <v>-10.998543674829858</v>
      </c>
      <c r="F488" s="304">
        <f t="shared" ca="1" si="213"/>
        <v>11.003408200703937</v>
      </c>
      <c r="G488" s="306">
        <f t="shared" ca="1" si="214"/>
        <v>15.193898482743073</v>
      </c>
      <c r="H488" s="307">
        <f t="shared" ca="1" si="215"/>
        <v>54.218291245134239</v>
      </c>
      <c r="I488" s="304">
        <f t="shared" ca="1" si="216"/>
        <v>56.306994739961944</v>
      </c>
      <c r="J488" s="306">
        <f t="shared" ca="1" si="217"/>
        <v>207.42861233515615</v>
      </c>
      <c r="K488" s="307">
        <f t="shared" ca="1" si="218"/>
        <v>1451.5552577605542</v>
      </c>
      <c r="L488" s="304">
        <f t="shared" ca="1" si="203"/>
        <v>1466.301229470806</v>
      </c>
      <c r="M488" s="306">
        <f t="shared" ca="1" si="219"/>
        <v>1.2975691121719093</v>
      </c>
      <c r="N488" s="304">
        <f t="shared" ca="1" si="220"/>
        <v>74.345233753987699</v>
      </c>
      <c r="P488" s="310">
        <f t="shared" ca="1" si="221"/>
        <v>23</v>
      </c>
      <c r="Q488" s="304">
        <f t="shared" ca="1" si="222"/>
        <v>0</v>
      </c>
      <c r="R488" s="306">
        <f t="shared" ca="1" si="223"/>
        <v>0</v>
      </c>
      <c r="S488" s="307">
        <f t="shared" ca="1" si="224"/>
        <v>7.4819999999999904</v>
      </c>
      <c r="T488" s="304">
        <f t="shared" ca="1" si="204"/>
        <v>73.398419999999916</v>
      </c>
      <c r="U488" s="311">
        <f t="shared" ca="1" si="205"/>
        <v>0</v>
      </c>
      <c r="V488" s="306">
        <f t="shared" ca="1" si="206"/>
        <v>1.0592166645363958</v>
      </c>
      <c r="W488" s="304">
        <f t="shared" ca="1" si="207"/>
        <v>8.8781893930728639</v>
      </c>
      <c r="Y488" s="314" t="str">
        <f t="shared" ca="1" si="225"/>
        <v/>
      </c>
      <c r="Z488" s="315" t="str">
        <f t="shared" ca="1" si="226"/>
        <v/>
      </c>
      <c r="AA488" s="316" t="str">
        <f t="shared" ca="1" si="227"/>
        <v/>
      </c>
      <c r="AC488" s="310" t="e">
        <f t="shared" ca="1" si="228"/>
        <v>#N/A</v>
      </c>
      <c r="AD488" s="323" t="e">
        <f t="shared" ca="1" si="229"/>
        <v>#N/A</v>
      </c>
      <c r="AE488" s="324">
        <f t="shared" ca="1" si="208"/>
        <v>1451.5552577605542</v>
      </c>
      <c r="AG488" s="306">
        <f t="shared" ca="1" si="230"/>
        <v>-10.690984226581156</v>
      </c>
      <c r="AH488" s="304">
        <f t="shared" ca="1" si="231"/>
        <v>-1.2327469858640225</v>
      </c>
    </row>
    <row r="489" spans="1:34" x14ac:dyDescent="0.2">
      <c r="A489" s="347">
        <f t="shared" ca="1" si="209"/>
        <v>0.1</v>
      </c>
      <c r="B489" s="304">
        <f t="shared" ca="1" si="210"/>
        <v>12.499999999999929</v>
      </c>
      <c r="D489" s="306">
        <f t="shared" ca="1" si="211"/>
        <v>-0.32019428296349201</v>
      </c>
      <c r="E489" s="307">
        <f t="shared" ca="1" si="212"/>
        <v>-10.952589369572209</v>
      </c>
      <c r="F489" s="304">
        <f t="shared" ca="1" si="213"/>
        <v>10.957268741675941</v>
      </c>
      <c r="G489" s="306">
        <f t="shared" ca="1" si="214"/>
        <v>15.161879054446723</v>
      </c>
      <c r="H489" s="307">
        <f t="shared" ca="1" si="215"/>
        <v>53.123032308177017</v>
      </c>
      <c r="I489" s="304">
        <f t="shared" ca="1" si="216"/>
        <v>55.244358427601362</v>
      </c>
      <c r="J489" s="306">
        <f t="shared" ca="1" si="217"/>
        <v>208.94640121201564</v>
      </c>
      <c r="K489" s="307">
        <f t="shared" ca="1" si="218"/>
        <v>1456.9223239382197</v>
      </c>
      <c r="L489" s="304">
        <f t="shared" ca="1" si="203"/>
        <v>1471.8292212648164</v>
      </c>
      <c r="M489" s="306">
        <f t="shared" ca="1" si="219"/>
        <v>1.2927774123145133</v>
      </c>
      <c r="N489" s="304">
        <f t="shared" ca="1" si="220"/>
        <v>74.070689575465465</v>
      </c>
      <c r="P489" s="310">
        <f t="shared" ca="1" si="221"/>
        <v>23</v>
      </c>
      <c r="Q489" s="304">
        <f t="shared" ca="1" si="222"/>
        <v>0</v>
      </c>
      <c r="R489" s="306">
        <f t="shared" ca="1" si="223"/>
        <v>0</v>
      </c>
      <c r="S489" s="307">
        <f t="shared" ca="1" si="224"/>
        <v>7.4819999999999904</v>
      </c>
      <c r="T489" s="304">
        <f t="shared" ca="1" si="204"/>
        <v>73.398419999999916</v>
      </c>
      <c r="U489" s="311">
        <f t="shared" ca="1" si="205"/>
        <v>0</v>
      </c>
      <c r="V489" s="306">
        <f t="shared" ca="1" si="206"/>
        <v>1.0586453085041745</v>
      </c>
      <c r="W489" s="304">
        <f t="shared" ca="1" si="207"/>
        <v>8.5416397234328905</v>
      </c>
      <c r="Y489" s="314" t="str">
        <f t="shared" ca="1" si="225"/>
        <v/>
      </c>
      <c r="Z489" s="315" t="str">
        <f t="shared" ca="1" si="226"/>
        <v/>
      </c>
      <c r="AA489" s="316" t="str">
        <f t="shared" ca="1" si="227"/>
        <v/>
      </c>
      <c r="AC489" s="310" t="e">
        <f t="shared" ca="1" si="228"/>
        <v>#N/A</v>
      </c>
      <c r="AD489" s="323" t="e">
        <f t="shared" ca="1" si="229"/>
        <v>#N/A</v>
      </c>
      <c r="AE489" s="324">
        <f t="shared" ca="1" si="208"/>
        <v>1456.9223239382197</v>
      </c>
      <c r="AG489" s="306">
        <f t="shared" ca="1" si="230"/>
        <v>-10.632705270860882</v>
      </c>
      <c r="AH489" s="304">
        <f t="shared" ca="1" si="231"/>
        <v>-1.1866064412019346</v>
      </c>
    </row>
    <row r="490" spans="1:34" x14ac:dyDescent="0.2">
      <c r="A490" s="347">
        <f t="shared" ca="1" si="209"/>
        <v>0.1</v>
      </c>
      <c r="B490" s="304">
        <f t="shared" ca="1" si="210"/>
        <v>12.599999999999929</v>
      </c>
      <c r="D490" s="306">
        <f t="shared" ca="1" si="211"/>
        <v>-0.31332037612584279</v>
      </c>
      <c r="E490" s="307">
        <f t="shared" ca="1" si="212"/>
        <v>-10.907787972320078</v>
      </c>
      <c r="F490" s="304">
        <f t="shared" ca="1" si="213"/>
        <v>10.912287024596916</v>
      </c>
      <c r="G490" s="306">
        <f t="shared" ca="1" si="214"/>
        <v>15.130547016834139</v>
      </c>
      <c r="H490" s="307">
        <f t="shared" ca="1" si="215"/>
        <v>52.032253510945011</v>
      </c>
      <c r="I490" s="304">
        <f t="shared" ca="1" si="216"/>
        <v>54.187534161058458</v>
      </c>
      <c r="J490" s="306">
        <f t="shared" ca="1" si="217"/>
        <v>210.46102251557969</v>
      </c>
      <c r="K490" s="307">
        <f t="shared" ca="1" si="218"/>
        <v>1462.1800882291759</v>
      </c>
      <c r="L490" s="304">
        <f t="shared" ca="1" si="203"/>
        <v>1477.2489473383232</v>
      </c>
      <c r="M490" s="306">
        <f t="shared" ca="1" si="219"/>
        <v>1.2878087841210919</v>
      </c>
      <c r="N490" s="304">
        <f t="shared" ca="1" si="220"/>
        <v>73.786008150012719</v>
      </c>
      <c r="P490" s="310">
        <f t="shared" ca="1" si="221"/>
        <v>23</v>
      </c>
      <c r="Q490" s="304">
        <f t="shared" ca="1" si="222"/>
        <v>0</v>
      </c>
      <c r="R490" s="306">
        <f t="shared" ca="1" si="223"/>
        <v>0</v>
      </c>
      <c r="S490" s="307">
        <f t="shared" ca="1" si="224"/>
        <v>7.4819999999999904</v>
      </c>
      <c r="T490" s="304">
        <f t="shared" ca="1" si="204"/>
        <v>73.398419999999916</v>
      </c>
      <c r="U490" s="311">
        <f t="shared" ca="1" si="205"/>
        <v>0</v>
      </c>
      <c r="V490" s="306">
        <f t="shared" ca="1" si="206"/>
        <v>1.0580858653950913</v>
      </c>
      <c r="W490" s="304">
        <f t="shared" ca="1" si="207"/>
        <v>8.2136197558856558</v>
      </c>
      <c r="Y490" s="314" t="str">
        <f t="shared" ca="1" si="225"/>
        <v/>
      </c>
      <c r="Z490" s="315" t="str">
        <f t="shared" ca="1" si="226"/>
        <v/>
      </c>
      <c r="AA490" s="316" t="str">
        <f t="shared" ca="1" si="227"/>
        <v/>
      </c>
      <c r="AC490" s="310" t="e">
        <f t="shared" ca="1" si="228"/>
        <v>#N/A</v>
      </c>
      <c r="AD490" s="323" t="e">
        <f t="shared" ca="1" si="229"/>
        <v>#N/A</v>
      </c>
      <c r="AE490" s="324">
        <f t="shared" ca="1" si="208"/>
        <v>1462.1800882291759</v>
      </c>
      <c r="AG490" s="306">
        <f t="shared" ca="1" si="230"/>
        <v>-10.574931362050817</v>
      </c>
      <c r="AH490" s="304">
        <f t="shared" ca="1" si="231"/>
        <v>-1.141625196930353</v>
      </c>
    </row>
    <row r="491" spans="1:34" x14ac:dyDescent="0.2">
      <c r="A491" s="347">
        <f t="shared" ca="1" si="209"/>
        <v>0.1</v>
      </c>
      <c r="B491" s="304">
        <f t="shared" ca="1" si="210"/>
        <v>12.699999999999928</v>
      </c>
      <c r="D491" s="306">
        <f t="shared" ca="1" si="211"/>
        <v>-0.30652939677582663</v>
      </c>
      <c r="E491" s="307">
        <f t="shared" ca="1" si="212"/>
        <v>-10.864120202253869</v>
      </c>
      <c r="F491" s="304">
        <f t="shared" ca="1" si="213"/>
        <v>10.868443680679787</v>
      </c>
      <c r="G491" s="306">
        <f t="shared" ca="1" si="214"/>
        <v>15.099894077156558</v>
      </c>
      <c r="H491" s="307">
        <f t="shared" ca="1" si="215"/>
        <v>50.945841490719623</v>
      </c>
      <c r="I491" s="304">
        <f t="shared" ca="1" si="216"/>
        <v>53.136480560335166</v>
      </c>
      <c r="J491" s="306">
        <f t="shared" ca="1" si="217"/>
        <v>211.97254457027921</v>
      </c>
      <c r="K491" s="307">
        <f t="shared" ca="1" si="218"/>
        <v>1467.3289929792591</v>
      </c>
      <c r="L491" s="304">
        <f t="shared" ca="1" si="203"/>
        <v>1482.560870011456</v>
      </c>
      <c r="M491" s="306">
        <f t="shared" ca="1" si="219"/>
        <v>1.2826537281412429</v>
      </c>
      <c r="N491" s="304">
        <f t="shared" ca="1" si="220"/>
        <v>73.490645199213688</v>
      </c>
      <c r="P491" s="310">
        <f t="shared" ca="1" si="221"/>
        <v>23</v>
      </c>
      <c r="Q491" s="304">
        <f t="shared" ca="1" si="222"/>
        <v>0</v>
      </c>
      <c r="R491" s="306">
        <f t="shared" ca="1" si="223"/>
        <v>0</v>
      </c>
      <c r="S491" s="307">
        <f t="shared" ca="1" si="224"/>
        <v>7.4819999999999904</v>
      </c>
      <c r="T491" s="304">
        <f t="shared" ca="1" si="204"/>
        <v>73.398419999999916</v>
      </c>
      <c r="U491" s="311">
        <f t="shared" ca="1" si="205"/>
        <v>0</v>
      </c>
      <c r="V491" s="306">
        <f t="shared" ca="1" si="206"/>
        <v>1.0575382708778123</v>
      </c>
      <c r="W491" s="304">
        <f t="shared" ca="1" si="207"/>
        <v>7.8939899359379728</v>
      </c>
      <c r="Y491" s="314" t="str">
        <f t="shared" ca="1" si="225"/>
        <v/>
      </c>
      <c r="Z491" s="315" t="str">
        <f t="shared" ca="1" si="226"/>
        <v/>
      </c>
      <c r="AA491" s="316" t="str">
        <f t="shared" ca="1" si="227"/>
        <v/>
      </c>
      <c r="AC491" s="310" t="e">
        <f t="shared" ca="1" si="228"/>
        <v>#N/A</v>
      </c>
      <c r="AD491" s="323" t="e">
        <f t="shared" ca="1" si="229"/>
        <v>#N/A</v>
      </c>
      <c r="AE491" s="324">
        <f t="shared" ca="1" si="208"/>
        <v>1467.3289929792591</v>
      </c>
      <c r="AG491" s="306">
        <f t="shared" ca="1" si="230"/>
        <v>-10.517596395751523</v>
      </c>
      <c r="AH491" s="304">
        <f t="shared" ca="1" si="231"/>
        <v>-1.0977839823423772</v>
      </c>
    </row>
    <row r="492" spans="1:34" x14ac:dyDescent="0.2">
      <c r="A492" s="347">
        <f t="shared" ca="1" si="209"/>
        <v>0.1</v>
      </c>
      <c r="B492" s="304">
        <f t="shared" ca="1" si="210"/>
        <v>12.799999999999928</v>
      </c>
      <c r="D492" s="306">
        <f t="shared" ca="1" si="211"/>
        <v>-0.29981957164376771</v>
      </c>
      <c r="E492" s="307">
        <f t="shared" ca="1" si="212"/>
        <v>-10.821567385488255</v>
      </c>
      <c r="F492" s="304">
        <f t="shared" ca="1" si="213"/>
        <v>10.825719950848708</v>
      </c>
      <c r="G492" s="306">
        <f t="shared" ca="1" si="214"/>
        <v>15.06991211999218</v>
      </c>
      <c r="H492" s="307">
        <f t="shared" ca="1" si="215"/>
        <v>49.863684752170798</v>
      </c>
      <c r="I492" s="304">
        <f t="shared" ca="1" si="216"/>
        <v>52.091163438419741</v>
      </c>
      <c r="J492" s="306">
        <f t="shared" ca="1" si="217"/>
        <v>213.48103488013666</v>
      </c>
      <c r="K492" s="307">
        <f t="shared" ca="1" si="218"/>
        <v>1472.3694692914037</v>
      </c>
      <c r="L492" s="304">
        <f t="shared" ca="1" si="203"/>
        <v>1487.7654406373822</v>
      </c>
      <c r="M492" s="306">
        <f t="shared" ca="1" si="219"/>
        <v>1.2773020727779518</v>
      </c>
      <c r="N492" s="304">
        <f t="shared" ca="1" si="220"/>
        <v>73.184017933488562</v>
      </c>
      <c r="P492" s="310">
        <f t="shared" ca="1" si="221"/>
        <v>23</v>
      </c>
      <c r="Q492" s="304">
        <f t="shared" ca="1" si="222"/>
        <v>0</v>
      </c>
      <c r="R492" s="306">
        <f t="shared" ca="1" si="223"/>
        <v>0</v>
      </c>
      <c r="S492" s="307">
        <f t="shared" ca="1" si="224"/>
        <v>7.4819999999999904</v>
      </c>
      <c r="T492" s="304">
        <f t="shared" ca="1" si="204"/>
        <v>73.398419999999916</v>
      </c>
      <c r="U492" s="311">
        <f t="shared" ca="1" si="205"/>
        <v>0</v>
      </c>
      <c r="V492" s="306">
        <f t="shared" ca="1" si="206"/>
        <v>1.0570024622842438</v>
      </c>
      <c r="W492" s="304">
        <f t="shared" ca="1" si="207"/>
        <v>7.5826152026783546</v>
      </c>
      <c r="Y492" s="314" t="str">
        <f t="shared" ca="1" si="225"/>
        <v/>
      </c>
      <c r="Z492" s="315" t="str">
        <f t="shared" ca="1" si="226"/>
        <v/>
      </c>
      <c r="AA492" s="316" t="str">
        <f t="shared" ca="1" si="227"/>
        <v/>
      </c>
      <c r="AC492" s="310" t="e">
        <f t="shared" ca="1" si="228"/>
        <v>#N/A</v>
      </c>
      <c r="AD492" s="323" t="e">
        <f t="shared" ca="1" si="229"/>
        <v>#N/A</v>
      </c>
      <c r="AE492" s="324">
        <f t="shared" ca="1" si="208"/>
        <v>1472.3694692914037</v>
      </c>
      <c r="AG492" s="306">
        <f t="shared" ca="1" si="230"/>
        <v>-10.460630711986303</v>
      </c>
      <c r="AH492" s="304">
        <f t="shared" ca="1" si="231"/>
        <v>-1.0550641454073755</v>
      </c>
    </row>
    <row r="493" spans="1:34" x14ac:dyDescent="0.2">
      <c r="A493" s="347">
        <f t="shared" ca="1" si="209"/>
        <v>0.1</v>
      </c>
      <c r="B493" s="304">
        <f t="shared" ca="1" si="210"/>
        <v>12.899999999999928</v>
      </c>
      <c r="D493" s="306">
        <f t="shared" ca="1" si="211"/>
        <v>-0.29318920493878875</v>
      </c>
      <c r="E493" s="307">
        <f t="shared" ca="1" si="212"/>
        <v>-10.780111436045651</v>
      </c>
      <c r="F493" s="304">
        <f t="shared" ca="1" si="213"/>
        <v>10.784097666631865</v>
      </c>
      <c r="G493" s="306">
        <f t="shared" ca="1" si="214"/>
        <v>15.040593199498302</v>
      </c>
      <c r="H493" s="307">
        <f t="shared" ca="1" si="215"/>
        <v>48.785673608566235</v>
      </c>
      <c r="I493" s="304">
        <f t="shared" ca="1" si="216"/>
        <v>51.051556227350709</v>
      </c>
      <c r="J493" s="306">
        <f t="shared" ca="1" si="217"/>
        <v>214.98656014611117</v>
      </c>
      <c r="K493" s="307">
        <f t="shared" ca="1" si="218"/>
        <v>1477.3019372094404</v>
      </c>
      <c r="L493" s="304">
        <f t="shared" ca="1" si="203"/>
        <v>1492.8630997938903</v>
      </c>
      <c r="M493" s="306">
        <f t="shared" ca="1" si="219"/>
        <v>1.2717429160103662</v>
      </c>
      <c r="N493" s="304">
        <f t="shared" ca="1" si="220"/>
        <v>72.865501713054314</v>
      </c>
      <c r="P493" s="310">
        <f t="shared" ca="1" si="221"/>
        <v>23</v>
      </c>
      <c r="Q493" s="304">
        <f t="shared" ca="1" si="222"/>
        <v>0</v>
      </c>
      <c r="R493" s="306">
        <f t="shared" ca="1" si="223"/>
        <v>0</v>
      </c>
      <c r="S493" s="307">
        <f t="shared" ca="1" si="224"/>
        <v>7.4819999999999904</v>
      </c>
      <c r="T493" s="304">
        <f t="shared" ca="1" si="204"/>
        <v>73.398419999999916</v>
      </c>
      <c r="U493" s="311">
        <f t="shared" ca="1" si="205"/>
        <v>0</v>
      </c>
      <c r="V493" s="306">
        <f t="shared" ca="1" si="206"/>
        <v>1.0564783785810388</v>
      </c>
      <c r="W493" s="304">
        <f t="shared" ca="1" si="207"/>
        <v>7.2793648588869804</v>
      </c>
      <c r="Y493" s="314" t="str">
        <f t="shared" ca="1" si="225"/>
        <v/>
      </c>
      <c r="Z493" s="315" t="str">
        <f t="shared" ca="1" si="226"/>
        <v/>
      </c>
      <c r="AA493" s="316" t="str">
        <f t="shared" ca="1" si="227"/>
        <v/>
      </c>
      <c r="AC493" s="310" t="e">
        <f t="shared" ca="1" si="228"/>
        <v>#N/A</v>
      </c>
      <c r="AD493" s="323" t="e">
        <f t="shared" ca="1" si="229"/>
        <v>#N/A</v>
      </c>
      <c r="AE493" s="324">
        <f t="shared" ca="1" si="208"/>
        <v>1477.3019372094404</v>
      </c>
      <c r="AG493" s="306">
        <f t="shared" ca="1" si="230"/>
        <v>-10.403960634012103</v>
      </c>
      <c r="AH493" s="304">
        <f t="shared" ca="1" si="231"/>
        <v>-1.013447634680348</v>
      </c>
    </row>
    <row r="494" spans="1:34" x14ac:dyDescent="0.2">
      <c r="A494" s="347">
        <f t="shared" ca="1" si="209"/>
        <v>0.1</v>
      </c>
      <c r="B494" s="304">
        <f t="shared" ca="1" si="210"/>
        <v>12.999999999999927</v>
      </c>
      <c r="D494" s="306">
        <f t="shared" ca="1" si="211"/>
        <v>-0.28663667914647034</v>
      </c>
      <c r="E494" s="307">
        <f t="shared" ca="1" si="212"/>
        <v>-10.739734837423134</v>
      </c>
      <c r="F494" s="304">
        <f t="shared" ca="1" si="213"/>
        <v>10.743559231650943</v>
      </c>
      <c r="G494" s="306">
        <f t="shared" ca="1" si="214"/>
        <v>15.011929531583654</v>
      </c>
      <c r="H494" s="307">
        <f t="shared" ca="1" si="215"/>
        <v>47.711700124823921</v>
      </c>
      <c r="I494" s="304">
        <f t="shared" ca="1" si="216"/>
        <v>50.017640458765712</v>
      </c>
      <c r="J494" s="306">
        <f t="shared" ca="1" si="217"/>
        <v>216.48918628266526</v>
      </c>
      <c r="K494" s="307">
        <f t="shared" ca="1" si="218"/>
        <v>1482.12680589611</v>
      </c>
      <c r="L494" s="304">
        <f t="shared" ca="1" si="203"/>
        <v>1497.854277469319</v>
      </c>
      <c r="M494" s="306">
        <f t="shared" ca="1" si="219"/>
        <v>1.2659645612260988</v>
      </c>
      <c r="N494" s="304">
        <f t="shared" ca="1" si="220"/>
        <v>72.534426371386559</v>
      </c>
      <c r="P494" s="310">
        <f t="shared" ca="1" si="221"/>
        <v>23</v>
      </c>
      <c r="Q494" s="304">
        <f t="shared" ca="1" si="222"/>
        <v>0</v>
      </c>
      <c r="R494" s="306">
        <f t="shared" ca="1" si="223"/>
        <v>0</v>
      </c>
      <c r="S494" s="307">
        <f t="shared" ca="1" si="224"/>
        <v>7.4819999999999904</v>
      </c>
      <c r="T494" s="304">
        <f t="shared" ca="1" si="204"/>
        <v>73.398419999999916</v>
      </c>
      <c r="U494" s="311">
        <f t="shared" ca="1" si="205"/>
        <v>0</v>
      </c>
      <c r="V494" s="306">
        <f t="shared" ca="1" si="206"/>
        <v>1.0559659603420262</v>
      </c>
      <c r="W494" s="304">
        <f t="shared" ca="1" si="207"/>
        <v>6.9841124463810065</v>
      </c>
      <c r="Y494" s="314" t="str">
        <f t="shared" ca="1" si="225"/>
        <v/>
      </c>
      <c r="Z494" s="315" t="str">
        <f t="shared" ca="1" si="226"/>
        <v/>
      </c>
      <c r="AA494" s="316" t="str">
        <f t="shared" ca="1" si="227"/>
        <v/>
      </c>
      <c r="AC494" s="310">
        <f t="shared" ca="1" si="228"/>
        <v>12.999999999999927</v>
      </c>
      <c r="AD494" s="323">
        <f t="shared" ca="1" si="229"/>
        <v>216.48918628266526</v>
      </c>
      <c r="AE494" s="324">
        <f t="shared" ca="1" si="208"/>
        <v>1482.12680589611</v>
      </c>
      <c r="AG494" s="306">
        <f t="shared" ca="1" si="230"/>
        <v>-10.347507953639202</v>
      </c>
      <c r="AH494" s="304">
        <f t="shared" ca="1" si="231"/>
        <v>-0.97291698194159182</v>
      </c>
    </row>
    <row r="495" spans="1:34" x14ac:dyDescent="0.2">
      <c r="A495" s="347">
        <f t="shared" ca="1" si="209"/>
        <v>0.1</v>
      </c>
      <c r="B495" s="304">
        <f t="shared" ca="1" si="210"/>
        <v>13.099999999999927</v>
      </c>
      <c r="D495" s="306">
        <f t="shared" ca="1" si="211"/>
        <v>-0.28016045616754509</v>
      </c>
      <c r="E495" s="307">
        <f t="shared" ca="1" si="212"/>
        <v>-10.700420624702312</v>
      </c>
      <c r="F495" s="304">
        <f t="shared" ca="1" si="213"/>
        <v>10.704087603656587</v>
      </c>
      <c r="G495" s="306">
        <f t="shared" ca="1" si="214"/>
        <v>14.9839134859669</v>
      </c>
      <c r="H495" s="307">
        <f t="shared" ca="1" si="215"/>
        <v>46.641658062353692</v>
      </c>
      <c r="I495" s="304">
        <f t="shared" ca="1" si="216"/>
        <v>48.989406305449997</v>
      </c>
      <c r="J495" s="306">
        <f t="shared" ca="1" si="217"/>
        <v>217.9889784335428</v>
      </c>
      <c r="K495" s="307">
        <f t="shared" ca="1" si="218"/>
        <v>1486.8444738054689</v>
      </c>
      <c r="L495" s="304">
        <f t="shared" ca="1" si="203"/>
        <v>1502.739393243007</v>
      </c>
      <c r="M495" s="306">
        <f t="shared" ca="1" si="219"/>
        <v>1.2599544464993615</v>
      </c>
      <c r="N495" s="304">
        <f t="shared" ca="1" si="220"/>
        <v>72.190072163155094</v>
      </c>
      <c r="P495" s="310">
        <f t="shared" ca="1" si="221"/>
        <v>23</v>
      </c>
      <c r="Q495" s="304">
        <f t="shared" ca="1" si="222"/>
        <v>0</v>
      </c>
      <c r="R495" s="306">
        <f t="shared" ca="1" si="223"/>
        <v>0</v>
      </c>
      <c r="S495" s="307">
        <f t="shared" ca="1" si="224"/>
        <v>7.4819999999999904</v>
      </c>
      <c r="T495" s="304">
        <f t="shared" ca="1" si="204"/>
        <v>73.398419999999916</v>
      </c>
      <c r="U495" s="311">
        <f t="shared" ca="1" si="205"/>
        <v>0</v>
      </c>
      <c r="V495" s="306">
        <f t="shared" ca="1" si="206"/>
        <v>1.0554651497215293</v>
      </c>
      <c r="W495" s="304">
        <f t="shared" ca="1" si="207"/>
        <v>6.6967356263775013</v>
      </c>
      <c r="Y495" s="314" t="str">
        <f t="shared" ca="1" si="225"/>
        <v/>
      </c>
      <c r="Z495" s="315" t="str">
        <f t="shared" ca="1" si="226"/>
        <v/>
      </c>
      <c r="AA495" s="316" t="str">
        <f t="shared" ca="1" si="227"/>
        <v/>
      </c>
      <c r="AC495" s="310" t="e">
        <f t="shared" ca="1" si="228"/>
        <v>#N/A</v>
      </c>
      <c r="AD495" s="323" t="e">
        <f t="shared" ca="1" si="229"/>
        <v>#N/A</v>
      </c>
      <c r="AE495" s="324">
        <f t="shared" ca="1" si="208"/>
        <v>1486.8444738054689</v>
      </c>
      <c r="AG495" s="306">
        <f t="shared" ca="1" si="230"/>
        <v>-10.291189355586479</v>
      </c>
      <c r="AH495" s="304">
        <f t="shared" ca="1" si="231"/>
        <v>-0.9334552855360887</v>
      </c>
    </row>
    <row r="496" spans="1:34" x14ac:dyDescent="0.2">
      <c r="A496" s="347">
        <f t="shared" ca="1" si="209"/>
        <v>0.1</v>
      </c>
      <c r="B496" s="304">
        <f t="shared" ca="1" si="210"/>
        <v>13.199999999999926</v>
      </c>
      <c r="D496" s="306">
        <f t="shared" ca="1" si="211"/>
        <v>-0.27375907882955125</v>
      </c>
      <c r="E496" s="307">
        <f t="shared" ca="1" si="212"/>
        <v>-10.662152367149691</v>
      </c>
      <c r="F496" s="304">
        <f t="shared" ca="1" si="213"/>
        <v>10.665666277057301</v>
      </c>
      <c r="G496" s="306">
        <f t="shared" ca="1" si="214"/>
        <v>14.956537578083944</v>
      </c>
      <c r="H496" s="307">
        <f t="shared" ca="1" si="215"/>
        <v>45.575442825638724</v>
      </c>
      <c r="I496" s="304">
        <f t="shared" ca="1" si="216"/>
        <v>47.966853191320581</v>
      </c>
      <c r="J496" s="306">
        <f t="shared" ca="1" si="217"/>
        <v>219.48600098674535</v>
      </c>
      <c r="K496" s="307">
        <f t="shared" ca="1" si="218"/>
        <v>1491.4553288498685</v>
      </c>
      <c r="L496" s="304">
        <f t="shared" ca="1" si="203"/>
        <v>1507.51885646045</v>
      </c>
      <c r="M496" s="306">
        <f t="shared" ca="1" si="219"/>
        <v>1.2536990665721843</v>
      </c>
      <c r="N496" s="304">
        <f t="shared" ca="1" si="220"/>
        <v>71.831665294076984</v>
      </c>
      <c r="P496" s="310">
        <f t="shared" ca="1" si="221"/>
        <v>23</v>
      </c>
      <c r="Q496" s="304">
        <f t="shared" ca="1" si="222"/>
        <v>0</v>
      </c>
      <c r="R496" s="306">
        <f t="shared" ca="1" si="223"/>
        <v>0</v>
      </c>
      <c r="S496" s="307">
        <f t="shared" ca="1" si="224"/>
        <v>7.4819999999999904</v>
      </c>
      <c r="T496" s="304">
        <f t="shared" ca="1" si="204"/>
        <v>73.398419999999916</v>
      </c>
      <c r="U496" s="311">
        <f t="shared" ca="1" si="205"/>
        <v>0</v>
      </c>
      <c r="V496" s="306">
        <f t="shared" ca="1" si="206"/>
        <v>1.0549758904285556</v>
      </c>
      <c r="W496" s="304">
        <f t="shared" ca="1" si="207"/>
        <v>6.4171160646665824</v>
      </c>
      <c r="Y496" s="314" t="str">
        <f t="shared" ca="1" si="225"/>
        <v/>
      </c>
      <c r="Z496" s="315" t="str">
        <f t="shared" ca="1" si="226"/>
        <v/>
      </c>
      <c r="AA496" s="316" t="str">
        <f t="shared" ca="1" si="227"/>
        <v/>
      </c>
      <c r="AC496" s="310" t="e">
        <f t="shared" ca="1" si="228"/>
        <v>#N/A</v>
      </c>
      <c r="AD496" s="323" t="e">
        <f t="shared" ca="1" si="229"/>
        <v>#N/A</v>
      </c>
      <c r="AE496" s="324">
        <f t="shared" ca="1" si="208"/>
        <v>1491.4553288498685</v>
      </c>
      <c r="AG496" s="306">
        <f t="shared" ca="1" si="230"/>
        <v>-10.234915772284234</v>
      </c>
      <c r="AH496" s="304">
        <f t="shared" ca="1" si="231"/>
        <v>-0.89504619438352173</v>
      </c>
    </row>
    <row r="497" spans="1:34" x14ac:dyDescent="0.2">
      <c r="A497" s="347">
        <f t="shared" ca="1" si="209"/>
        <v>0.1</v>
      </c>
      <c r="B497" s="304">
        <f t="shared" ca="1" si="210"/>
        <v>13.299999999999926</v>
      </c>
      <c r="D497" s="306">
        <f t="shared" ca="1" si="211"/>
        <v>-0.26743117280833267</v>
      </c>
      <c r="E497" s="307">
        <f t="shared" ca="1" si="212"/>
        <v>-10.624914151252453</v>
      </c>
      <c r="F497" s="304">
        <f t="shared" ca="1" si="213"/>
        <v>10.628279265886565</v>
      </c>
      <c r="G497" s="306">
        <f t="shared" ca="1" si="214"/>
        <v>14.929794460803111</v>
      </c>
      <c r="H497" s="307">
        <f t="shared" ca="1" si="215"/>
        <v>44.51295141051348</v>
      </c>
      <c r="I497" s="304">
        <f t="shared" ca="1" si="216"/>
        <v>46.949990478343672</v>
      </c>
      <c r="J497" s="306">
        <f t="shared" ca="1" si="217"/>
        <v>220.9803175886897</v>
      </c>
      <c r="K497" s="307">
        <f t="shared" ca="1" si="218"/>
        <v>1495.9597485616762</v>
      </c>
      <c r="L497" s="304">
        <f t="shared" ca="1" si="203"/>
        <v>1512.1930664033318</v>
      </c>
      <c r="M497" s="306">
        <f t="shared" ca="1" si="219"/>
        <v>1.2471838867078919</v>
      </c>
      <c r="N497" s="304">
        <f t="shared" ca="1" si="220"/>
        <v>71.458372985084424</v>
      </c>
      <c r="P497" s="310">
        <f t="shared" ca="1" si="221"/>
        <v>23</v>
      </c>
      <c r="Q497" s="304">
        <f t="shared" ca="1" si="222"/>
        <v>0</v>
      </c>
      <c r="R497" s="306">
        <f t="shared" ca="1" si="223"/>
        <v>0</v>
      </c>
      <c r="S497" s="307">
        <f t="shared" ca="1" si="224"/>
        <v>7.4819999999999904</v>
      </c>
      <c r="T497" s="304">
        <f t="shared" ca="1" si="204"/>
        <v>73.398419999999916</v>
      </c>
      <c r="U497" s="311">
        <f t="shared" ca="1" si="205"/>
        <v>0</v>
      </c>
      <c r="V497" s="306">
        <f t="shared" ca="1" si="206"/>
        <v>1.0544981277018191</v>
      </c>
      <c r="W497" s="304">
        <f t="shared" ca="1" si="207"/>
        <v>6.1451393213969858</v>
      </c>
      <c r="Y497" s="314" t="str">
        <f t="shared" ca="1" si="225"/>
        <v/>
      </c>
      <c r="Z497" s="315" t="str">
        <f t="shared" ca="1" si="226"/>
        <v/>
      </c>
      <c r="AA497" s="316" t="str">
        <f t="shared" ca="1" si="227"/>
        <v/>
      </c>
      <c r="AC497" s="310" t="e">
        <f t="shared" ca="1" si="228"/>
        <v>#N/A</v>
      </c>
      <c r="AD497" s="323" t="e">
        <f t="shared" ca="1" si="229"/>
        <v>#N/A</v>
      </c>
      <c r="AE497" s="324">
        <f t="shared" ca="1" si="208"/>
        <v>1495.9597485616762</v>
      </c>
      <c r="AG497" s="306">
        <f t="shared" ca="1" si="230"/>
        <v>-10.17859165924458</v>
      </c>
      <c r="AH497" s="304">
        <f t="shared" ca="1" si="231"/>
        <v>-0.85767389263119365</v>
      </c>
    </row>
    <row r="498" spans="1:34" x14ac:dyDescent="0.2">
      <c r="A498" s="347">
        <f t="shared" ca="1" si="209"/>
        <v>0.1</v>
      </c>
      <c r="B498" s="304">
        <f t="shared" ca="1" si="210"/>
        <v>13.399999999999926</v>
      </c>
      <c r="D498" s="306">
        <f t="shared" ca="1" si="211"/>
        <v>-0.26117544900196371</v>
      </c>
      <c r="E498" s="307">
        <f t="shared" ca="1" si="212"/>
        <v>-10.588690564131054</v>
      </c>
      <c r="F498" s="304">
        <f t="shared" ca="1" si="213"/>
        <v>10.591911087149448</v>
      </c>
      <c r="G498" s="306">
        <f t="shared" ca="1" si="214"/>
        <v>14.903676915902913</v>
      </c>
      <c r="H498" s="307">
        <f t="shared" ca="1" si="215"/>
        <v>43.454082354100372</v>
      </c>
      <c r="I498" s="304">
        <f t="shared" ca="1" si="216"/>
        <v>45.938838240105234</v>
      </c>
      <c r="J498" s="306">
        <f t="shared" ca="1" si="217"/>
        <v>222.471991157525</v>
      </c>
      <c r="K498" s="307">
        <f t="shared" ca="1" si="218"/>
        <v>1500.3581002499068</v>
      </c>
      <c r="L498" s="304">
        <f t="shared" ca="1" si="203"/>
        <v>1516.7624124546016</v>
      </c>
      <c r="M498" s="306">
        <f t="shared" ca="1" si="219"/>
        <v>1.2403932474881745</v>
      </c>
      <c r="N498" s="304">
        <f t="shared" ca="1" si="220"/>
        <v>71.069298017598598</v>
      </c>
      <c r="P498" s="310">
        <f t="shared" ca="1" si="221"/>
        <v>23</v>
      </c>
      <c r="Q498" s="304">
        <f t="shared" ca="1" si="222"/>
        <v>0</v>
      </c>
      <c r="R498" s="306">
        <f t="shared" ca="1" si="223"/>
        <v>0</v>
      </c>
      <c r="S498" s="307">
        <f t="shared" ca="1" si="224"/>
        <v>7.4819999999999904</v>
      </c>
      <c r="T498" s="304">
        <f t="shared" ca="1" si="204"/>
        <v>73.398419999999916</v>
      </c>
      <c r="U498" s="311">
        <f t="shared" ca="1" si="205"/>
        <v>0</v>
      </c>
      <c r="V498" s="306">
        <f t="shared" ca="1" si="206"/>
        <v>1.0540318082855773</v>
      </c>
      <c r="W498" s="304">
        <f t="shared" ca="1" si="207"/>
        <v>5.8806947452855098</v>
      </c>
      <c r="Y498" s="314" t="str">
        <f t="shared" ca="1" si="225"/>
        <v/>
      </c>
      <c r="Z498" s="315" t="str">
        <f t="shared" ca="1" si="226"/>
        <v/>
      </c>
      <c r="AA498" s="316" t="str">
        <f t="shared" ca="1" si="227"/>
        <v/>
      </c>
      <c r="AC498" s="310" t="e">
        <f t="shared" ca="1" si="228"/>
        <v>#N/A</v>
      </c>
      <c r="AD498" s="323" t="e">
        <f t="shared" ca="1" si="229"/>
        <v>#N/A</v>
      </c>
      <c r="AE498" s="324">
        <f t="shared" ca="1" si="208"/>
        <v>1500.3581002499068</v>
      </c>
      <c r="AG498" s="306">
        <f t="shared" ca="1" si="230"/>
        <v>-10.12211417962147</v>
      </c>
      <c r="AH498" s="304">
        <f t="shared" ca="1" si="231"/>
        <v>-0.82132308492341533</v>
      </c>
    </row>
    <row r="499" spans="1:34" x14ac:dyDescent="0.2">
      <c r="A499" s="347">
        <f t="shared" ca="1" si="209"/>
        <v>0.1</v>
      </c>
      <c r="B499" s="304">
        <f t="shared" ca="1" si="210"/>
        <v>13.499999999999925</v>
      </c>
      <c r="D499" s="306">
        <f t="shared" ca="1" si="211"/>
        <v>-0.25499070640621974</v>
      </c>
      <c r="E499" s="307">
        <f t="shared" ca="1" si="212"/>
        <v>-10.553466677265583</v>
      </c>
      <c r="F499" s="304">
        <f t="shared" ca="1" si="213"/>
        <v>10.556546744485557</v>
      </c>
      <c r="G499" s="306">
        <f t="shared" ca="1" si="214"/>
        <v>14.878177845262291</v>
      </c>
      <c r="H499" s="307">
        <f t="shared" ca="1" si="215"/>
        <v>42.398735686373811</v>
      </c>
      <c r="I499" s="304">
        <f t="shared" ca="1" si="216"/>
        <v>44.933428133164306</v>
      </c>
      <c r="J499" s="306">
        <f t="shared" ca="1" si="217"/>
        <v>223.96108389558324</v>
      </c>
      <c r="K499" s="307">
        <f t="shared" ca="1" si="218"/>
        <v>1504.6507411519306</v>
      </c>
      <c r="L499" s="304">
        <f t="shared" ca="1" si="203"/>
        <v>1521.2272742587606</v>
      </c>
      <c r="M499" s="306">
        <f t="shared" ca="1" si="219"/>
        <v>1.2333102595168988</v>
      </c>
      <c r="N499" s="304">
        <f t="shared" ca="1" si="220"/>
        <v>70.663472700502567</v>
      </c>
      <c r="P499" s="310">
        <f t="shared" ca="1" si="221"/>
        <v>23</v>
      </c>
      <c r="Q499" s="304">
        <f t="shared" ca="1" si="222"/>
        <v>0</v>
      </c>
      <c r="R499" s="306">
        <f t="shared" ca="1" si="223"/>
        <v>0</v>
      </c>
      <c r="S499" s="307">
        <f t="shared" ca="1" si="224"/>
        <v>7.4819999999999904</v>
      </c>
      <c r="T499" s="304">
        <f t="shared" ca="1" si="204"/>
        <v>73.398419999999916</v>
      </c>
      <c r="U499" s="311">
        <f t="shared" ca="1" si="205"/>
        <v>0</v>
      </c>
      <c r="V499" s="306">
        <f t="shared" ca="1" si="206"/>
        <v>1.053576880406254</v>
      </c>
      <c r="W499" s="304">
        <f t="shared" ca="1" si="207"/>
        <v>5.6236753720702</v>
      </c>
      <c r="Y499" s="314" t="str">
        <f t="shared" ca="1" si="225"/>
        <v/>
      </c>
      <c r="Z499" s="315" t="str">
        <f t="shared" ca="1" si="226"/>
        <v/>
      </c>
      <c r="AA499" s="316" t="str">
        <f t="shared" ca="1" si="227"/>
        <v/>
      </c>
      <c r="AC499" s="310" t="e">
        <f t="shared" ca="1" si="228"/>
        <v>#N/A</v>
      </c>
      <c r="AD499" s="323" t="e">
        <f t="shared" ca="1" si="229"/>
        <v>#N/A</v>
      </c>
      <c r="AE499" s="324">
        <f t="shared" ca="1" si="208"/>
        <v>1504.6507411519306</v>
      </c>
      <c r="AG499" s="306">
        <f t="shared" ca="1" si="230"/>
        <v>-10.065372284846219</v>
      </c>
      <c r="AH499" s="304">
        <f t="shared" ca="1" si="231"/>
        <v>-0.78597898226216489</v>
      </c>
    </row>
    <row r="500" spans="1:34" x14ac:dyDescent="0.2">
      <c r="A500" s="347">
        <f t="shared" ca="1" si="209"/>
        <v>0.1</v>
      </c>
      <c r="B500" s="304">
        <f t="shared" ca="1" si="210"/>
        <v>13.599999999999925</v>
      </c>
      <c r="D500" s="306">
        <f t="shared" ca="1" si="211"/>
        <v>-0.24887583554822224</v>
      </c>
      <c r="E500" s="307">
        <f t="shared" ca="1" si="212"/>
        <v>-10.519228030467094</v>
      </c>
      <c r="F500" s="304">
        <f t="shared" ca="1" si="213"/>
        <v>10.522171712079425</v>
      </c>
      <c r="G500" s="306">
        <f t="shared" ca="1" si="214"/>
        <v>14.853290261707469</v>
      </c>
      <c r="H500" s="307">
        <f t="shared" ca="1" si="215"/>
        <v>41.346812883327104</v>
      </c>
      <c r="I500" s="304">
        <f t="shared" ca="1" si="216"/>
        <v>43.933804378944899</v>
      </c>
      <c r="J500" s="306">
        <f t="shared" ca="1" si="217"/>
        <v>225.44765730093172</v>
      </c>
      <c r="K500" s="307">
        <f t="shared" ca="1" si="218"/>
        <v>1508.8380185804156</v>
      </c>
      <c r="L500" s="304">
        <f t="shared" ca="1" si="203"/>
        <v>1525.5880218775162</v>
      </c>
      <c r="M500" s="306">
        <f t="shared" ca="1" si="219"/>
        <v>1.2259166868748543</v>
      </c>
      <c r="N500" s="304">
        <f t="shared" ca="1" si="220"/>
        <v>70.239852192590035</v>
      </c>
      <c r="P500" s="310">
        <f t="shared" ca="1" si="221"/>
        <v>23</v>
      </c>
      <c r="Q500" s="304">
        <f t="shared" ca="1" si="222"/>
        <v>0</v>
      </c>
      <c r="R500" s="306">
        <f t="shared" ca="1" si="223"/>
        <v>0</v>
      </c>
      <c r="S500" s="307">
        <f t="shared" ca="1" si="224"/>
        <v>7.4819999999999904</v>
      </c>
      <c r="T500" s="304">
        <f t="shared" ca="1" si="204"/>
        <v>73.398419999999916</v>
      </c>
      <c r="U500" s="311">
        <f t="shared" ca="1" si="205"/>
        <v>0</v>
      </c>
      <c r="V500" s="306">
        <f t="shared" ca="1" si="206"/>
        <v>1.0531332937498221</v>
      </c>
      <c r="W500" s="304">
        <f t="shared" ca="1" si="207"/>
        <v>5.3739778270352225</v>
      </c>
      <c r="Y500" s="314" t="str">
        <f t="shared" ca="1" si="225"/>
        <v/>
      </c>
      <c r="Z500" s="315" t="str">
        <f t="shared" ca="1" si="226"/>
        <v/>
      </c>
      <c r="AA500" s="316" t="str">
        <f t="shared" ca="1" si="227"/>
        <v/>
      </c>
      <c r="AC500" s="310" t="e">
        <f t="shared" ca="1" si="228"/>
        <v>#N/A</v>
      </c>
      <c r="AD500" s="323" t="e">
        <f t="shared" ca="1" si="229"/>
        <v>#N/A</v>
      </c>
      <c r="AE500" s="324">
        <f t="shared" ca="1" si="208"/>
        <v>1508.8380185804156</v>
      </c>
      <c r="AG500" s="306">
        <f t="shared" ca="1" si="230"/>
        <v>-10.008245676212429</v>
      </c>
      <c r="AH500" s="304">
        <f t="shared" ca="1" si="231"/>
        <v>-0.75162728843493809</v>
      </c>
    </row>
    <row r="501" spans="1:34" x14ac:dyDescent="0.2">
      <c r="A501" s="347">
        <f t="shared" ca="1" si="209"/>
        <v>0.1</v>
      </c>
      <c r="B501" s="304">
        <f t="shared" ca="1" si="210"/>
        <v>13.699999999999925</v>
      </c>
      <c r="D501" s="306">
        <f t="shared" ca="1" si="211"/>
        <v>-0.24282982254353644</v>
      </c>
      <c r="E501" s="307">
        <f t="shared" ca="1" si="212"/>
        <v>-10.48596061601808</v>
      </c>
      <c r="F501" s="304">
        <f t="shared" ca="1" si="213"/>
        <v>10.488771918742385</v>
      </c>
      <c r="G501" s="306">
        <f t="shared" ca="1" si="214"/>
        <v>14.829007279453116</v>
      </c>
      <c r="H501" s="307">
        <f t="shared" ca="1" si="215"/>
        <v>40.298216821725298</v>
      </c>
      <c r="I501" s="304">
        <f t="shared" ca="1" si="216"/>
        <v>42.940024870799235</v>
      </c>
      <c r="J501" s="306">
        <f t="shared" ca="1" si="217"/>
        <v>226.93177217798976</v>
      </c>
      <c r="K501" s="307">
        <f t="shared" ca="1" si="218"/>
        <v>1512.9202700656681</v>
      </c>
      <c r="L501" s="304">
        <f t="shared" ca="1" si="203"/>
        <v>1529.8450159409667</v>
      </c>
      <c r="M501" s="306">
        <f t="shared" ca="1" si="219"/>
        <v>1.2181928180398056</v>
      </c>
      <c r="N501" s="304">
        <f t="shared" ca="1" si="220"/>
        <v>69.797307106829123</v>
      </c>
      <c r="P501" s="310">
        <f t="shared" ca="1" si="221"/>
        <v>23</v>
      </c>
      <c r="Q501" s="304">
        <f t="shared" ca="1" si="222"/>
        <v>0</v>
      </c>
      <c r="R501" s="306">
        <f t="shared" ca="1" si="223"/>
        <v>0</v>
      </c>
      <c r="S501" s="307">
        <f t="shared" ca="1" si="224"/>
        <v>7.4819999999999904</v>
      </c>
      <c r="T501" s="304">
        <f t="shared" ca="1" si="204"/>
        <v>73.398419999999916</v>
      </c>
      <c r="U501" s="311">
        <f t="shared" ca="1" si="205"/>
        <v>0</v>
      </c>
      <c r="V501" s="306">
        <f t="shared" ca="1" si="206"/>
        <v>1.0527009994399255</v>
      </c>
      <c r="W501" s="304">
        <f t="shared" ca="1" si="207"/>
        <v>5.1315022314427079</v>
      </c>
      <c r="Y501" s="314" t="str">
        <f t="shared" ca="1" si="225"/>
        <v/>
      </c>
      <c r="Z501" s="315" t="str">
        <f t="shared" ca="1" si="226"/>
        <v/>
      </c>
      <c r="AA501" s="316" t="str">
        <f t="shared" ca="1" si="227"/>
        <v/>
      </c>
      <c r="AC501" s="310" t="e">
        <f t="shared" ca="1" si="228"/>
        <v>#N/A</v>
      </c>
      <c r="AD501" s="323" t="e">
        <f t="shared" ca="1" si="229"/>
        <v>#N/A</v>
      </c>
      <c r="AE501" s="324">
        <f t="shared" ca="1" si="208"/>
        <v>1512.9202700656681</v>
      </c>
      <c r="AG501" s="306">
        <f t="shared" ca="1" si="230"/>
        <v>-9.9506036299552996</v>
      </c>
      <c r="AH501" s="304">
        <f t="shared" ca="1" si="231"/>
        <v>-0.71825418698679888</v>
      </c>
    </row>
    <row r="502" spans="1:34" x14ac:dyDescent="0.2">
      <c r="A502" s="347">
        <f t="shared" ca="1" si="209"/>
        <v>0.1</v>
      </c>
      <c r="B502" s="304">
        <f t="shared" ca="1" si="210"/>
        <v>13.799999999999924</v>
      </c>
      <c r="D502" s="306">
        <f t="shared" ca="1" si="211"/>
        <v>-0.23685175385194993</v>
      </c>
      <c r="E502" s="307">
        <f t="shared" ca="1" si="212"/>
        <v>-10.453650862897398</v>
      </c>
      <c r="F502" s="304">
        <f t="shared" ca="1" si="213"/>
        <v>10.456333732081157</v>
      </c>
      <c r="G502" s="306">
        <f t="shared" ca="1" si="214"/>
        <v>14.805322104067921</v>
      </c>
      <c r="H502" s="307">
        <f t="shared" ca="1" si="215"/>
        <v>39.252851735435556</v>
      </c>
      <c r="I502" s="304">
        <f t="shared" ca="1" si="216"/>
        <v>41.952162423041891</v>
      </c>
      <c r="J502" s="306">
        <f t="shared" ca="1" si="217"/>
        <v>228.41348864716582</v>
      </c>
      <c r="K502" s="307">
        <f t="shared" ca="1" si="218"/>
        <v>1516.8978234935262</v>
      </c>
      <c r="L502" s="304">
        <f t="shared" ca="1" si="203"/>
        <v>1533.9986077944679</v>
      </c>
      <c r="M502" s="306">
        <f t="shared" ca="1" si="219"/>
        <v>1.2101173228459186</v>
      </c>
      <c r="N502" s="304">
        <f t="shared" ca="1" si="220"/>
        <v>69.334615314741214</v>
      </c>
      <c r="P502" s="310">
        <f t="shared" ca="1" si="221"/>
        <v>23</v>
      </c>
      <c r="Q502" s="304">
        <f t="shared" ca="1" si="222"/>
        <v>0</v>
      </c>
      <c r="R502" s="306">
        <f t="shared" ca="1" si="223"/>
        <v>0</v>
      </c>
      <c r="S502" s="307">
        <f t="shared" ca="1" si="224"/>
        <v>7.4819999999999904</v>
      </c>
      <c r="T502" s="304">
        <f t="shared" ca="1" si="204"/>
        <v>73.398419999999916</v>
      </c>
      <c r="U502" s="311">
        <f t="shared" ca="1" si="205"/>
        <v>0</v>
      </c>
      <c r="V502" s="306">
        <f t="shared" ca="1" si="206"/>
        <v>1.0522799500167102</v>
      </c>
      <c r="W502" s="304">
        <f t="shared" ca="1" si="207"/>
        <v>4.8961521127138541</v>
      </c>
      <c r="Y502" s="314" t="str">
        <f t="shared" ca="1" si="225"/>
        <v/>
      </c>
      <c r="Z502" s="315" t="str">
        <f t="shared" ca="1" si="226"/>
        <v/>
      </c>
      <c r="AA502" s="316" t="str">
        <f t="shared" ca="1" si="227"/>
        <v/>
      </c>
      <c r="AC502" s="310" t="e">
        <f t="shared" ca="1" si="228"/>
        <v>#N/A</v>
      </c>
      <c r="AD502" s="323" t="e">
        <f t="shared" ca="1" si="229"/>
        <v>#N/A</v>
      </c>
      <c r="AE502" s="324">
        <f t="shared" ca="1" si="208"/>
        <v>1516.8978234935262</v>
      </c>
      <c r="AG502" s="306">
        <f t="shared" ca="1" si="230"/>
        <v>-9.8923036656771881</v>
      </c>
      <c r="AH502" s="304">
        <f t="shared" ca="1" si="231"/>
        <v>-0.68584632871461038</v>
      </c>
    </row>
    <row r="503" spans="1:34" x14ac:dyDescent="0.2">
      <c r="A503" s="347">
        <f t="shared" ca="1" si="209"/>
        <v>0.1</v>
      </c>
      <c r="B503" s="304">
        <f t="shared" ca="1" si="210"/>
        <v>13.899999999999924</v>
      </c>
      <c r="D503" s="306">
        <f t="shared" ca="1" si="211"/>
        <v>-0.23094082181864162</v>
      </c>
      <c r="E503" s="307">
        <f t="shared" ca="1" si="212"/>
        <v>-10.422285620994092</v>
      </c>
      <c r="F503" s="304">
        <f t="shared" ca="1" si="213"/>
        <v>10.424843942657485</v>
      </c>
      <c r="G503" s="306">
        <f t="shared" ca="1" si="214"/>
        <v>14.782228021886057</v>
      </c>
      <c r="H503" s="307">
        <f t="shared" ca="1" si="215"/>
        <v>38.210623173336145</v>
      </c>
      <c r="I503" s="304">
        <f t="shared" ca="1" si="216"/>
        <v>40.97030618125433</v>
      </c>
      <c r="J503" s="306">
        <f t="shared" ca="1" si="217"/>
        <v>229.89286615346353</v>
      </c>
      <c r="K503" s="307">
        <f t="shared" ca="1" si="218"/>
        <v>1520.7709972389648</v>
      </c>
      <c r="L503" s="304">
        <f t="shared" ca="1" si="203"/>
        <v>1538.0491396413347</v>
      </c>
      <c r="M503" s="306">
        <f t="shared" ca="1" si="219"/>
        <v>1.201667093907028</v>
      </c>
      <c r="N503" s="304">
        <f t="shared" ca="1" si="220"/>
        <v>68.850452860623463</v>
      </c>
      <c r="P503" s="310">
        <f t="shared" ca="1" si="221"/>
        <v>23</v>
      </c>
      <c r="Q503" s="304">
        <f t="shared" ca="1" si="222"/>
        <v>0</v>
      </c>
      <c r="R503" s="306">
        <f t="shared" ca="1" si="223"/>
        <v>0</v>
      </c>
      <c r="S503" s="307">
        <f t="shared" ca="1" si="224"/>
        <v>7.4819999999999904</v>
      </c>
      <c r="T503" s="304">
        <f t="shared" ca="1" si="204"/>
        <v>73.398419999999916</v>
      </c>
      <c r="U503" s="311">
        <f t="shared" ca="1" si="205"/>
        <v>0</v>
      </c>
      <c r="V503" s="306">
        <f t="shared" ca="1" si="206"/>
        <v>1.051870099416351</v>
      </c>
      <c r="W503" s="304">
        <f t="shared" ca="1" si="207"/>
        <v>4.6678343182078379</v>
      </c>
      <c r="Y503" s="314" t="str">
        <f t="shared" ca="1" si="225"/>
        <v/>
      </c>
      <c r="Z503" s="315" t="str">
        <f t="shared" ca="1" si="226"/>
        <v/>
      </c>
      <c r="AA503" s="316" t="str">
        <f t="shared" ca="1" si="227"/>
        <v/>
      </c>
      <c r="AC503" s="310" t="e">
        <f t="shared" ca="1" si="228"/>
        <v>#N/A</v>
      </c>
      <c r="AD503" s="323" t="e">
        <f t="shared" ca="1" si="229"/>
        <v>#N/A</v>
      </c>
      <c r="AE503" s="324">
        <f t="shared" ca="1" si="208"/>
        <v>1520.7709972389648</v>
      </c>
      <c r="AG503" s="306">
        <f t="shared" ca="1" si="230"/>
        <v>-9.8331900348638737</v>
      </c>
      <c r="AH503" s="304">
        <f t="shared" ca="1" si="231"/>
        <v>-0.65439081966237111</v>
      </c>
    </row>
    <row r="504" spans="1:34" x14ac:dyDescent="0.2">
      <c r="A504" s="347">
        <f t="shared" ca="1" si="209"/>
        <v>0.1</v>
      </c>
      <c r="B504" s="304">
        <f t="shared" ca="1" si="210"/>
        <v>13.999999999999924</v>
      </c>
      <c r="D504" s="306">
        <f t="shared" ca="1" si="211"/>
        <v>-0.22509633110065683</v>
      </c>
      <c r="E504" s="307">
        <f t="shared" ca="1" si="212"/>
        <v>-10.391852145201202</v>
      </c>
      <c r="F504" s="304">
        <f t="shared" ca="1" si="213"/>
        <v>10.39428974802982</v>
      </c>
      <c r="G504" s="306">
        <f t="shared" ca="1" si="214"/>
        <v>14.759718388775992</v>
      </c>
      <c r="H504" s="307">
        <f t="shared" ca="1" si="215"/>
        <v>37.171437958816028</v>
      </c>
      <c r="I504" s="304">
        <f t="shared" ca="1" si="216"/>
        <v>39.994563216043268</v>
      </c>
      <c r="J504" s="306">
        <f t="shared" ca="1" si="217"/>
        <v>231.36996347399662</v>
      </c>
      <c r="K504" s="307">
        <f t="shared" ca="1" si="218"/>
        <v>1524.5401002955725</v>
      </c>
      <c r="L504" s="304">
        <f t="shared" ca="1" si="203"/>
        <v>1541.9969446815362</v>
      </c>
      <c r="M504" s="306">
        <f t="shared" ca="1" si="219"/>
        <v>1.1928170707715491</v>
      </c>
      <c r="N504" s="304">
        <f t="shared" ca="1" si="220"/>
        <v>68.343383886367391</v>
      </c>
      <c r="P504" s="310">
        <f t="shared" ca="1" si="221"/>
        <v>23</v>
      </c>
      <c r="Q504" s="304">
        <f t="shared" ca="1" si="222"/>
        <v>0</v>
      </c>
      <c r="R504" s="306">
        <f t="shared" ca="1" si="223"/>
        <v>0</v>
      </c>
      <c r="S504" s="307">
        <f t="shared" ca="1" si="224"/>
        <v>7.4819999999999904</v>
      </c>
      <c r="T504" s="304">
        <f t="shared" ca="1" si="204"/>
        <v>73.398419999999916</v>
      </c>
      <c r="U504" s="311">
        <f t="shared" ca="1" si="205"/>
        <v>0</v>
      </c>
      <c r="V504" s="306">
        <f t="shared" ca="1" si="206"/>
        <v>1.051471402951236</v>
      </c>
      <c r="W504" s="304">
        <f t="shared" ca="1" si="207"/>
        <v>4.446458932452888</v>
      </c>
      <c r="Y504" s="314" t="str">
        <f t="shared" ca="1" si="225"/>
        <v/>
      </c>
      <c r="Z504" s="315" t="str">
        <f t="shared" ca="1" si="226"/>
        <v/>
      </c>
      <c r="AA504" s="316" t="str">
        <f t="shared" ca="1" si="227"/>
        <v/>
      </c>
      <c r="AC504" s="310">
        <f t="shared" ca="1" si="228"/>
        <v>13.999999999999924</v>
      </c>
      <c r="AD504" s="323">
        <f t="shared" ca="1" si="229"/>
        <v>231.36996347399662</v>
      </c>
      <c r="AE504" s="324">
        <f t="shared" ca="1" si="208"/>
        <v>1524.5401002955725</v>
      </c>
      <c r="AG504" s="306">
        <f t="shared" ca="1" si="230"/>
        <v>-9.7730920026595012</v>
      </c>
      <c r="AH504" s="304">
        <f t="shared" ca="1" si="231"/>
        <v>-0.62387520959741294</v>
      </c>
    </row>
    <row r="505" spans="1:34" x14ac:dyDescent="0.2">
      <c r="A505" s="347">
        <f t="shared" ca="1" si="209"/>
        <v>0.1</v>
      </c>
      <c r="B505" s="304">
        <f t="shared" ca="1" si="210"/>
        <v>14.099999999999923</v>
      </c>
      <c r="D505" s="306">
        <f t="shared" ca="1" si="211"/>
        <v>-0.2193177060938348</v>
      </c>
      <c r="E505" s="307">
        <f t="shared" ca="1" si="212"/>
        <v>-10.362338079264187</v>
      </c>
      <c r="F505" s="304">
        <f t="shared" ca="1" si="213"/>
        <v>10.364658736551574</v>
      </c>
      <c r="G505" s="306">
        <f t="shared" ca="1" si="214"/>
        <v>14.737786618166609</v>
      </c>
      <c r="H505" s="307">
        <f t="shared" ca="1" si="215"/>
        <v>36.135204150889606</v>
      </c>
      <c r="I505" s="304">
        <f t="shared" ca="1" si="216"/>
        <v>39.025060325758375</v>
      </c>
      <c r="J505" s="306">
        <f t="shared" ca="1" si="217"/>
        <v>232.84483872434376</v>
      </c>
      <c r="K505" s="307">
        <f t="shared" ca="1" si="218"/>
        <v>1528.2054324010578</v>
      </c>
      <c r="L505" s="304">
        <f t="shared" ca="1" si="203"/>
        <v>1545.8423472465327</v>
      </c>
      <c r="M505" s="306">
        <f t="shared" ca="1" si="219"/>
        <v>1.1835400449170541</v>
      </c>
      <c r="N505" s="304">
        <f t="shared" ca="1" si="220"/>
        <v>67.811849458471087</v>
      </c>
      <c r="P505" s="310">
        <f t="shared" ca="1" si="221"/>
        <v>23</v>
      </c>
      <c r="Q505" s="304">
        <f t="shared" ca="1" si="222"/>
        <v>0</v>
      </c>
      <c r="R505" s="306">
        <f t="shared" ca="1" si="223"/>
        <v>0</v>
      </c>
      <c r="S505" s="307">
        <f t="shared" ca="1" si="224"/>
        <v>7.4819999999999904</v>
      </c>
      <c r="T505" s="304">
        <f t="shared" ca="1" si="204"/>
        <v>73.398419999999916</v>
      </c>
      <c r="U505" s="311">
        <f t="shared" ca="1" si="205"/>
        <v>0</v>
      </c>
      <c r="V505" s="306">
        <f t="shared" ca="1" si="206"/>
        <v>1.0510838172908032</v>
      </c>
      <c r="W505" s="304">
        <f t="shared" ca="1" si="207"/>
        <v>4.2319391976892229</v>
      </c>
      <c r="Y505" s="314" t="str">
        <f t="shared" ca="1" si="225"/>
        <v/>
      </c>
      <c r="Z505" s="315" t="str">
        <f t="shared" ca="1" si="226"/>
        <v/>
      </c>
      <c r="AA505" s="316" t="str">
        <f t="shared" ca="1" si="227"/>
        <v/>
      </c>
      <c r="AC505" s="310" t="e">
        <f t="shared" ca="1" si="228"/>
        <v>#N/A</v>
      </c>
      <c r="AD505" s="323" t="e">
        <f t="shared" ca="1" si="229"/>
        <v>#N/A</v>
      </c>
      <c r="AE505" s="324">
        <f t="shared" ca="1" si="208"/>
        <v>1528.2054324010578</v>
      </c>
      <c r="AG505" s="306">
        <f t="shared" ca="1" si="230"/>
        <v>-9.7118218919678956</v>
      </c>
      <c r="AH505" s="304">
        <f t="shared" ca="1" si="231"/>
        <v>-0.59428748094799433</v>
      </c>
    </row>
    <row r="506" spans="1:34" x14ac:dyDescent="0.2">
      <c r="A506" s="347">
        <f t="shared" ca="1" si="209"/>
        <v>0.1</v>
      </c>
      <c r="B506" s="304">
        <f t="shared" ca="1" si="210"/>
        <v>14.199999999999923</v>
      </c>
      <c r="D506" s="306">
        <f t="shared" ca="1" si="211"/>
        <v>-0.21360449949284641</v>
      </c>
      <c r="E506" s="307">
        <f t="shared" ca="1" si="212"/>
        <v>-10.333731439238521</v>
      </c>
      <c r="F506" s="304">
        <f t="shared" ca="1" si="213"/>
        <v>10.335938870780449</v>
      </c>
      <c r="G506" s="306">
        <f t="shared" ca="1" si="214"/>
        <v>14.716426168217325</v>
      </c>
      <c r="H506" s="307">
        <f t="shared" ca="1" si="215"/>
        <v>35.101831006965753</v>
      </c>
      <c r="I506" s="304">
        <f t="shared" ca="1" si="216"/>
        <v>38.061946077495485</v>
      </c>
      <c r="J506" s="306">
        <f t="shared" ca="1" si="217"/>
        <v>234.31754936366295</v>
      </c>
      <c r="K506" s="307">
        <f t="shared" ca="1" si="218"/>
        <v>1531.7672841589506</v>
      </c>
      <c r="L506" s="304">
        <f t="shared" ca="1" si="203"/>
        <v>1549.5856629304105</v>
      </c>
      <c r="M506" s="306">
        <f t="shared" ca="1" si="219"/>
        <v>1.1738064435358198</v>
      </c>
      <c r="N506" s="304">
        <f t="shared" ca="1" si="220"/>
        <v>67.254155179863645</v>
      </c>
      <c r="P506" s="310">
        <f t="shared" ca="1" si="221"/>
        <v>23</v>
      </c>
      <c r="Q506" s="304">
        <f t="shared" ca="1" si="222"/>
        <v>0</v>
      </c>
      <c r="R506" s="306">
        <f t="shared" ca="1" si="223"/>
        <v>0</v>
      </c>
      <c r="S506" s="307">
        <f t="shared" ca="1" si="224"/>
        <v>7.4819999999999904</v>
      </c>
      <c r="T506" s="304">
        <f t="shared" ca="1" si="204"/>
        <v>73.398419999999916</v>
      </c>
      <c r="U506" s="311">
        <f t="shared" ca="1" si="205"/>
        <v>0</v>
      </c>
      <c r="V506" s="306">
        <f t="shared" ca="1" si="206"/>
        <v>1.0507073004429872</v>
      </c>
      <c r="W506" s="304">
        <f t="shared" ca="1" si="207"/>
        <v>4.0241914375880183</v>
      </c>
      <c r="Y506" s="314" t="str">
        <f t="shared" ca="1" si="225"/>
        <v/>
      </c>
      <c r="Z506" s="315" t="str">
        <f t="shared" ca="1" si="226"/>
        <v/>
      </c>
      <c r="AA506" s="316" t="str">
        <f t="shared" ca="1" si="227"/>
        <v/>
      </c>
      <c r="AC506" s="310" t="e">
        <f t="shared" ca="1" si="228"/>
        <v>#N/A</v>
      </c>
      <c r="AD506" s="323" t="e">
        <f t="shared" ca="1" si="229"/>
        <v>#N/A</v>
      </c>
      <c r="AE506" s="324">
        <f t="shared" ca="1" si="208"/>
        <v>1531.7672841589506</v>
      </c>
      <c r="AG506" s="306">
        <f t="shared" ca="1" si="230"/>
        <v>-9.6491728542699811</v>
      </c>
      <c r="AH506" s="304">
        <f t="shared" ca="1" si="231"/>
        <v>-0.56561603818353756</v>
      </c>
    </row>
    <row r="507" spans="1:34" x14ac:dyDescent="0.2">
      <c r="A507" s="347">
        <f t="shared" ca="1" si="209"/>
        <v>0.1</v>
      </c>
      <c r="B507" s="304">
        <f t="shared" ca="1" si="210"/>
        <v>14.299999999999923</v>
      </c>
      <c r="D507" s="306">
        <f t="shared" ca="1" si="211"/>
        <v>-0.20795640213712638</v>
      </c>
      <c r="E507" s="307">
        <f t="shared" ca="1" si="212"/>
        <v>-10.306020596386295</v>
      </c>
      <c r="F507" s="304">
        <f t="shared" ca="1" si="213"/>
        <v>10.308118470328537</v>
      </c>
      <c r="G507" s="306">
        <f t="shared" ca="1" si="214"/>
        <v>14.695630528003612</v>
      </c>
      <c r="H507" s="307">
        <f t="shared" ca="1" si="215"/>
        <v>34.071228947327121</v>
      </c>
      <c r="I507" s="304">
        <f t="shared" ca="1" si="216"/>
        <v>37.105393120094732</v>
      </c>
      <c r="J507" s="306">
        <f t="shared" ca="1" si="217"/>
        <v>235.78815219847399</v>
      </c>
      <c r="K507" s="307">
        <f t="shared" ca="1" si="218"/>
        <v>1535.2259371566652</v>
      </c>
      <c r="L507" s="304">
        <f t="shared" ca="1" si="203"/>
        <v>1553.227198717474</v>
      </c>
      <c r="M507" s="306">
        <f t="shared" ca="1" si="219"/>
        <v>1.1635840899185828</v>
      </c>
      <c r="N507" s="304">
        <f t="shared" ca="1" si="220"/>
        <v>66.668457460905671</v>
      </c>
      <c r="P507" s="310">
        <f t="shared" ca="1" si="221"/>
        <v>23</v>
      </c>
      <c r="Q507" s="304">
        <f t="shared" ca="1" si="222"/>
        <v>0</v>
      </c>
      <c r="R507" s="306">
        <f t="shared" ca="1" si="223"/>
        <v>0</v>
      </c>
      <c r="S507" s="307">
        <f t="shared" ca="1" si="224"/>
        <v>7.4819999999999904</v>
      </c>
      <c r="T507" s="304">
        <f t="shared" ca="1" si="204"/>
        <v>73.398419999999916</v>
      </c>
      <c r="U507" s="311">
        <f t="shared" ca="1" si="205"/>
        <v>0</v>
      </c>
      <c r="V507" s="306">
        <f t="shared" ca="1" si="206"/>
        <v>1.0503418117362719</v>
      </c>
      <c r="W507" s="304">
        <f t="shared" ca="1" si="207"/>
        <v>3.8231349840148536</v>
      </c>
      <c r="Y507" s="314" t="str">
        <f t="shared" ca="1" si="225"/>
        <v/>
      </c>
      <c r="Z507" s="315" t="str">
        <f t="shared" ca="1" si="226"/>
        <v/>
      </c>
      <c r="AA507" s="316" t="str">
        <f t="shared" ca="1" si="227"/>
        <v/>
      </c>
      <c r="AC507" s="310" t="e">
        <f t="shared" ca="1" si="228"/>
        <v>#N/A</v>
      </c>
      <c r="AD507" s="323" t="e">
        <f t="shared" ca="1" si="229"/>
        <v>#N/A</v>
      </c>
      <c r="AE507" s="324">
        <f t="shared" ca="1" si="208"/>
        <v>1535.2259371566652</v>
      </c>
      <c r="AG507" s="306">
        <f t="shared" ca="1" si="230"/>
        <v>-9.5849163262469954</v>
      </c>
      <c r="AH507" s="304">
        <f t="shared" ca="1" si="231"/>
        <v>-0.5378496976193563</v>
      </c>
    </row>
    <row r="508" spans="1:34" x14ac:dyDescent="0.2">
      <c r="A508" s="347">
        <f t="shared" ca="1" si="209"/>
        <v>0.1</v>
      </c>
      <c r="B508" s="304">
        <f t="shared" ca="1" si="210"/>
        <v>14.399999999999922</v>
      </c>
      <c r="D508" s="306">
        <f t="shared" ca="1" si="211"/>
        <v>-0.20237325431854908</v>
      </c>
      <c r="E508" s="307">
        <f t="shared" ca="1" si="212"/>
        <v>-10.279194259311556</v>
      </c>
      <c r="F508" s="304">
        <f t="shared" ca="1" si="213"/>
        <v>10.281186193952871</v>
      </c>
      <c r="G508" s="306">
        <f t="shared" ca="1" si="214"/>
        <v>14.675393202571756</v>
      </c>
      <c r="H508" s="307">
        <f t="shared" ca="1" si="215"/>
        <v>33.043309521395969</v>
      </c>
      <c r="I508" s="304">
        <f t="shared" ca="1" si="216"/>
        <v>36.155600807853638</v>
      </c>
      <c r="J508" s="306">
        <f t="shared" ca="1" si="217"/>
        <v>237.25670338500277</v>
      </c>
      <c r="K508" s="307">
        <f t="shared" ca="1" si="218"/>
        <v>1538.5816640801013</v>
      </c>
      <c r="L508" s="304">
        <f t="shared" ca="1" si="203"/>
        <v>1556.7672531064536</v>
      </c>
      <c r="M508" s="306">
        <f t="shared" ca="1" si="219"/>
        <v>1.15283793812646</v>
      </c>
      <c r="N508" s="304">
        <f t="shared" ca="1" si="220"/>
        <v>66.052748317210089</v>
      </c>
      <c r="P508" s="310">
        <f t="shared" ca="1" si="221"/>
        <v>23</v>
      </c>
      <c r="Q508" s="304">
        <f t="shared" ca="1" si="222"/>
        <v>0</v>
      </c>
      <c r="R508" s="306">
        <f t="shared" ca="1" si="223"/>
        <v>0</v>
      </c>
      <c r="S508" s="307">
        <f t="shared" ca="1" si="224"/>
        <v>7.4819999999999904</v>
      </c>
      <c r="T508" s="304">
        <f t="shared" ca="1" si="204"/>
        <v>73.398419999999916</v>
      </c>
      <c r="U508" s="311">
        <f t="shared" ca="1" si="205"/>
        <v>0</v>
      </c>
      <c r="V508" s="306">
        <f t="shared" ca="1" si="206"/>
        <v>1.0499873118023046</v>
      </c>
      <c r="W508" s="304">
        <f t="shared" ca="1" si="207"/>
        <v>3.6286921067091753</v>
      </c>
      <c r="Y508" s="314" t="str">
        <f t="shared" ca="1" si="225"/>
        <v/>
      </c>
      <c r="Z508" s="315" t="str">
        <f t="shared" ca="1" si="226"/>
        <v/>
      </c>
      <c r="AA508" s="316" t="str">
        <f t="shared" ca="1" si="227"/>
        <v/>
      </c>
      <c r="AC508" s="310" t="e">
        <f t="shared" ca="1" si="228"/>
        <v>#N/A</v>
      </c>
      <c r="AD508" s="323" t="e">
        <f t="shared" ca="1" si="229"/>
        <v>#N/A</v>
      </c>
      <c r="AE508" s="324">
        <f t="shared" ca="1" si="208"/>
        <v>1538.5816640801013</v>
      </c>
      <c r="AG508" s="306">
        <f t="shared" ca="1" si="230"/>
        <v>-9.5187991253484974</v>
      </c>
      <c r="AH508" s="304">
        <f t="shared" ca="1" si="231"/>
        <v>-0.51097767762828905</v>
      </c>
    </row>
    <row r="509" spans="1:34" x14ac:dyDescent="0.2">
      <c r="A509" s="347">
        <f t="shared" ca="1" si="209"/>
        <v>0.1</v>
      </c>
      <c r="B509" s="304">
        <f t="shared" ca="1" si="210"/>
        <v>14.499999999999922</v>
      </c>
      <c r="D509" s="306">
        <f t="shared" ca="1" si="211"/>
        <v>-0.19685505875303105</v>
      </c>
      <c r="E509" s="307">
        <f t="shared" ca="1" si="212"/>
        <v>-10.253241455097033</v>
      </c>
      <c r="F509" s="304">
        <f t="shared" ca="1" si="213"/>
        <v>10.25513102064898</v>
      </c>
      <c r="G509" s="306">
        <f t="shared" ca="1" si="214"/>
        <v>14.655707696696453</v>
      </c>
      <c r="H509" s="307">
        <f t="shared" ca="1" si="215"/>
        <v>32.017985375886269</v>
      </c>
      <c r="I509" s="304">
        <f t="shared" ca="1" si="216"/>
        <v>35.212798179376122</v>
      </c>
      <c r="J509" s="306">
        <f t="shared" ca="1" si="217"/>
        <v>238.72325842996617</v>
      </c>
      <c r="K509" s="307">
        <f t="shared" ca="1" si="218"/>
        <v>1541.8347288249654</v>
      </c>
      <c r="L509" s="304">
        <f t="shared" ca="1" si="203"/>
        <v>1560.2061162314981</v>
      </c>
      <c r="M509" s="306">
        <f t="shared" ca="1" si="219"/>
        <v>1.1415297795711519</v>
      </c>
      <c r="N509" s="304">
        <f t="shared" ca="1" si="220"/>
        <v>65.404838557926183</v>
      </c>
      <c r="P509" s="310">
        <f t="shared" ca="1" si="221"/>
        <v>23</v>
      </c>
      <c r="Q509" s="304">
        <f t="shared" ca="1" si="222"/>
        <v>0</v>
      </c>
      <c r="R509" s="306">
        <f t="shared" ca="1" si="223"/>
        <v>0</v>
      </c>
      <c r="S509" s="307">
        <f t="shared" ca="1" si="224"/>
        <v>7.4819999999999904</v>
      </c>
      <c r="T509" s="304">
        <f t="shared" ca="1" si="204"/>
        <v>73.398419999999916</v>
      </c>
      <c r="U509" s="311">
        <f t="shared" ca="1" si="205"/>
        <v>0</v>
      </c>
      <c r="V509" s="306">
        <f t="shared" ca="1" si="206"/>
        <v>1.0496437625590673</v>
      </c>
      <c r="W509" s="304">
        <f t="shared" ca="1" si="207"/>
        <v>3.4407879457542796</v>
      </c>
      <c r="Y509" s="314" t="str">
        <f t="shared" ca="1" si="225"/>
        <v/>
      </c>
      <c r="Z509" s="315" t="str">
        <f t="shared" ca="1" si="226"/>
        <v/>
      </c>
      <c r="AA509" s="316" t="str">
        <f t="shared" ca="1" si="227"/>
        <v/>
      </c>
      <c r="AC509" s="310" t="e">
        <f t="shared" ca="1" si="228"/>
        <v>#N/A</v>
      </c>
      <c r="AD509" s="323" t="e">
        <f t="shared" ca="1" si="229"/>
        <v>#N/A</v>
      </c>
      <c r="AE509" s="324">
        <f t="shared" ca="1" si="208"/>
        <v>1541.8347288249654</v>
      </c>
      <c r="AG509" s="306">
        <f t="shared" ca="1" si="230"/>
        <v>-9.4505401308467416</v>
      </c>
      <c r="AH509" s="304">
        <f t="shared" ca="1" si="231"/>
        <v>-0.48498958924207164</v>
      </c>
    </row>
    <row r="510" spans="1:34" x14ac:dyDescent="0.2">
      <c r="A510" s="347">
        <f t="shared" ca="1" si="209"/>
        <v>0.1</v>
      </c>
      <c r="B510" s="304">
        <f t="shared" ca="1" si="210"/>
        <v>14.599999999999921</v>
      </c>
      <c r="D510" s="306">
        <f t="shared" ca="1" si="211"/>
        <v>-0.1914019954481988</v>
      </c>
      <c r="E510" s="307">
        <f t="shared" ca="1" si="212"/>
        <v>-10.22815150915962</v>
      </c>
      <c r="F510" s="304">
        <f t="shared" ca="1" si="213"/>
        <v>10.229942229464728</v>
      </c>
      <c r="G510" s="306">
        <f t="shared" ca="1" si="214"/>
        <v>14.636567497151633</v>
      </c>
      <c r="H510" s="307">
        <f t="shared" ca="1" si="215"/>
        <v>30.995170224970309</v>
      </c>
      <c r="I510" s="304">
        <f t="shared" ca="1" si="216"/>
        <v>34.277247342421788</v>
      </c>
      <c r="J510" s="306">
        <f t="shared" ca="1" si="217"/>
        <v>240.18787218965858</v>
      </c>
      <c r="K510" s="307">
        <f t="shared" ca="1" si="218"/>
        <v>1544.9853866050082</v>
      </c>
      <c r="L510" s="304">
        <f t="shared" ca="1" si="203"/>
        <v>1563.5440699801277</v>
      </c>
      <c r="M510" s="306">
        <f t="shared" ca="1" si="219"/>
        <v>1.1296179191307478</v>
      </c>
      <c r="N510" s="304">
        <f t="shared" ca="1" si="220"/>
        <v>64.722339228542182</v>
      </c>
      <c r="P510" s="310">
        <f t="shared" ca="1" si="221"/>
        <v>23</v>
      </c>
      <c r="Q510" s="304">
        <f t="shared" ca="1" si="222"/>
        <v>0</v>
      </c>
      <c r="R510" s="306">
        <f t="shared" ca="1" si="223"/>
        <v>0</v>
      </c>
      <c r="S510" s="307">
        <f t="shared" ca="1" si="224"/>
        <v>7.4819999999999904</v>
      </c>
      <c r="T510" s="304">
        <f t="shared" ca="1" si="204"/>
        <v>73.398419999999916</v>
      </c>
      <c r="U510" s="311">
        <f t="shared" ca="1" si="205"/>
        <v>0</v>
      </c>
      <c r="V510" s="306">
        <f t="shared" ca="1" si="206"/>
        <v>1.0493111271945621</v>
      </c>
      <c r="W510" s="304">
        <f t="shared" ca="1" si="207"/>
        <v>3.2593504467138721</v>
      </c>
      <c r="Y510" s="314" t="str">
        <f t="shared" ca="1" si="225"/>
        <v/>
      </c>
      <c r="Z510" s="315" t="str">
        <f t="shared" ca="1" si="226"/>
        <v/>
      </c>
      <c r="AA510" s="316" t="str">
        <f t="shared" ca="1" si="227"/>
        <v/>
      </c>
      <c r="AC510" s="310" t="e">
        <f t="shared" ca="1" si="228"/>
        <v>#N/A</v>
      </c>
      <c r="AD510" s="323" t="e">
        <f t="shared" ca="1" si="229"/>
        <v>#N/A</v>
      </c>
      <c r="AE510" s="324">
        <f t="shared" ca="1" si="208"/>
        <v>1544.9853866050082</v>
      </c>
      <c r="AG510" s="306">
        <f t="shared" ca="1" si="230"/>
        <v>-9.3798264897313217</v>
      </c>
      <c r="AH510" s="304">
        <f t="shared" ca="1" si="231"/>
        <v>-0.45987542712567281</v>
      </c>
    </row>
    <row r="511" spans="1:34" x14ac:dyDescent="0.2">
      <c r="A511" s="347">
        <f t="shared" ca="1" si="209"/>
        <v>0.1</v>
      </c>
      <c r="B511" s="304">
        <f t="shared" ca="1" si="210"/>
        <v>14.699999999999921</v>
      </c>
      <c r="D511" s="306">
        <f t="shared" ca="1" si="211"/>
        <v>-0.1860144387330615</v>
      </c>
      <c r="E511" s="307">
        <f t="shared" ca="1" si="212"/>
        <v>-10.203914023486419</v>
      </c>
      <c r="F511" s="304">
        <f t="shared" ca="1" si="213"/>
        <v>10.205609377696168</v>
      </c>
      <c r="G511" s="306">
        <f t="shared" ca="1" si="214"/>
        <v>14.617966053278327</v>
      </c>
      <c r="H511" s="307">
        <f t="shared" ca="1" si="215"/>
        <v>29.974778822621666</v>
      </c>
      <c r="I511" s="304">
        <f t="shared" ca="1" si="216"/>
        <v>33.34924732283902</v>
      </c>
      <c r="J511" s="306">
        <f t="shared" ca="1" si="217"/>
        <v>241.65059886718007</v>
      </c>
      <c r="K511" s="307">
        <f t="shared" ca="1" si="218"/>
        <v>1548.0338840573879</v>
      </c>
      <c r="L511" s="304">
        <f t="shared" ca="1" si="203"/>
        <v>1566.7813881083312</v>
      </c>
      <c r="M511" s="306">
        <f t="shared" ca="1" si="219"/>
        <v>1.1170568185545908</v>
      </c>
      <c r="N511" s="304">
        <f t="shared" ca="1" si="220"/>
        <v>64.002641179489046</v>
      </c>
      <c r="P511" s="310">
        <f t="shared" ca="1" si="221"/>
        <v>23</v>
      </c>
      <c r="Q511" s="304">
        <f t="shared" ca="1" si="222"/>
        <v>0</v>
      </c>
      <c r="R511" s="306">
        <f t="shared" ca="1" si="223"/>
        <v>0</v>
      </c>
      <c r="S511" s="307">
        <f t="shared" ca="1" si="224"/>
        <v>7.4819999999999904</v>
      </c>
      <c r="T511" s="304">
        <f t="shared" ca="1" si="204"/>
        <v>73.398419999999916</v>
      </c>
      <c r="U511" s="311">
        <f t="shared" ca="1" si="205"/>
        <v>0</v>
      </c>
      <c r="V511" s="306">
        <f t="shared" ca="1" si="206"/>
        <v>1.0489893701509969</v>
      </c>
      <c r="W511" s="304">
        <f t="shared" ca="1" si="207"/>
        <v>3.0843102983124449</v>
      </c>
      <c r="Y511" s="314" t="str">
        <f t="shared" ca="1" si="225"/>
        <v/>
      </c>
      <c r="Z511" s="315" t="str">
        <f t="shared" ca="1" si="226"/>
        <v/>
      </c>
      <c r="AA511" s="316" t="str">
        <f t="shared" ca="1" si="227"/>
        <v/>
      </c>
      <c r="AC511" s="310" t="e">
        <f t="shared" ca="1" si="228"/>
        <v>#N/A</v>
      </c>
      <c r="AD511" s="323" t="e">
        <f t="shared" ca="1" si="229"/>
        <v>#N/A</v>
      </c>
      <c r="AE511" s="324">
        <f t="shared" ca="1" si="208"/>
        <v>1548.0338840573879</v>
      </c>
      <c r="AG511" s="306">
        <f t="shared" ca="1" si="230"/>
        <v>-9.3063092791612299</v>
      </c>
      <c r="AH511" s="304">
        <f t="shared" ca="1" si="231"/>
        <v>-0.43562556090802945</v>
      </c>
    </row>
    <row r="512" spans="1:34" x14ac:dyDescent="0.2">
      <c r="A512" s="347">
        <f t="shared" ca="1" si="209"/>
        <v>0.1</v>
      </c>
      <c r="B512" s="304">
        <f t="shared" ca="1" si="210"/>
        <v>14.799999999999921</v>
      </c>
      <c r="D512" s="306">
        <f t="shared" ca="1" si="211"/>
        <v>-0.18069297675348844</v>
      </c>
      <c r="E512" s="307">
        <f t="shared" ca="1" si="212"/>
        <v>-10.180518852844939</v>
      </c>
      <c r="F512" s="304">
        <f t="shared" ca="1" si="213"/>
        <v>10.182122277058907</v>
      </c>
      <c r="G512" s="306">
        <f t="shared" ca="1" si="214"/>
        <v>14.599896755602979</v>
      </c>
      <c r="H512" s="307">
        <f t="shared" ca="1" si="215"/>
        <v>28.956726937337173</v>
      </c>
      <c r="I512" s="304">
        <f t="shared" ca="1" si="216"/>
        <v>32.429138443655496</v>
      </c>
      <c r="J512" s="306">
        <f t="shared" ca="1" si="217"/>
        <v>243.11149200762412</v>
      </c>
      <c r="K512" s="307">
        <f t="shared" ca="1" si="218"/>
        <v>1550.980459345386</v>
      </c>
      <c r="L512" s="304">
        <f t="shared" ca="1" si="203"/>
        <v>1569.9183363530083</v>
      </c>
      <c r="M512" s="306">
        <f t="shared" ca="1" si="219"/>
        <v>1.1037967052144619</v>
      </c>
      <c r="N512" s="304">
        <f t="shared" ca="1" si="220"/>
        <v>63.242892649234534</v>
      </c>
      <c r="P512" s="310">
        <f t="shared" ca="1" si="221"/>
        <v>23</v>
      </c>
      <c r="Q512" s="304">
        <f t="shared" ca="1" si="222"/>
        <v>0</v>
      </c>
      <c r="R512" s="306">
        <f t="shared" ca="1" si="223"/>
        <v>0</v>
      </c>
      <c r="S512" s="307">
        <f t="shared" ca="1" si="224"/>
        <v>7.4819999999999904</v>
      </c>
      <c r="T512" s="304">
        <f t="shared" ca="1" si="204"/>
        <v>73.398419999999916</v>
      </c>
      <c r="U512" s="311">
        <f t="shared" ca="1" si="205"/>
        <v>0</v>
      </c>
      <c r="V512" s="306">
        <f t="shared" ca="1" si="206"/>
        <v>1.0486784571094352</v>
      </c>
      <c r="W512" s="304">
        <f t="shared" ca="1" si="207"/>
        <v>2.9156008725365199</v>
      </c>
      <c r="Y512" s="314" t="str">
        <f t="shared" ca="1" si="225"/>
        <v/>
      </c>
      <c r="Z512" s="315" t="str">
        <f t="shared" ca="1" si="226"/>
        <v/>
      </c>
      <c r="AA512" s="316" t="str">
        <f t="shared" ca="1" si="227"/>
        <v/>
      </c>
      <c r="AC512" s="310" t="e">
        <f t="shared" ca="1" si="228"/>
        <v>#N/A</v>
      </c>
      <c r="AD512" s="323" t="e">
        <f t="shared" ca="1" si="229"/>
        <v>#N/A</v>
      </c>
      <c r="AE512" s="324">
        <f t="shared" ca="1" si="208"/>
        <v>1550.980459345386</v>
      </c>
      <c r="AG512" s="306">
        <f t="shared" ca="1" si="230"/>
        <v>-9.229598549380464</v>
      </c>
      <c r="AH512" s="304">
        <f t="shared" ca="1" si="231"/>
        <v>-0.41223072685277318</v>
      </c>
    </row>
    <row r="513" spans="1:34" x14ac:dyDescent="0.2">
      <c r="A513" s="347">
        <f t="shared" ca="1" si="209"/>
        <v>0.1</v>
      </c>
      <c r="B513" s="304">
        <f t="shared" ca="1" si="210"/>
        <v>14.89999999999992</v>
      </c>
      <c r="D513" s="306">
        <f t="shared" ca="1" si="211"/>
        <v>-0.17543843377913212</v>
      </c>
      <c r="E513" s="307">
        <f t="shared" ca="1" si="212"/>
        <v>-10.157956078477531</v>
      </c>
      <c r="F513" s="304">
        <f t="shared" ca="1" si="213"/>
        <v>10.159470967344976</v>
      </c>
      <c r="G513" s="306">
        <f t="shared" ca="1" si="214"/>
        <v>14.582352912225065</v>
      </c>
      <c r="H513" s="307">
        <f t="shared" ca="1" si="215"/>
        <v>27.94093132948942</v>
      </c>
      <c r="I513" s="304">
        <f t="shared" ca="1" si="216"/>
        <v>31.517307309094829</v>
      </c>
      <c r="J513" s="306">
        <f t="shared" ca="1" si="217"/>
        <v>244.57060449101553</v>
      </c>
      <c r="K513" s="307">
        <f t="shared" ca="1" si="218"/>
        <v>1553.8253422587272</v>
      </c>
      <c r="L513" s="304">
        <f t="shared" ca="1" si="203"/>
        <v>1572.9551725419742</v>
      </c>
      <c r="M513" s="306">
        <f t="shared" ca="1" si="219"/>
        <v>1.089783144822315</v>
      </c>
      <c r="N513" s="304">
        <f t="shared" ca="1" si="220"/>
        <v>62.439974782812818</v>
      </c>
      <c r="P513" s="310">
        <f t="shared" ca="1" si="221"/>
        <v>23</v>
      </c>
      <c r="Q513" s="304">
        <f t="shared" ca="1" si="222"/>
        <v>0</v>
      </c>
      <c r="R513" s="306">
        <f t="shared" ca="1" si="223"/>
        <v>0</v>
      </c>
      <c r="S513" s="307">
        <f t="shared" ca="1" si="224"/>
        <v>7.4819999999999904</v>
      </c>
      <c r="T513" s="304">
        <f t="shared" ca="1" si="204"/>
        <v>73.398419999999916</v>
      </c>
      <c r="U513" s="311">
        <f t="shared" ca="1" si="205"/>
        <v>0</v>
      </c>
      <c r="V513" s="306">
        <f t="shared" ca="1" si="206"/>
        <v>1.0483783549748791</v>
      </c>
      <c r="W513" s="304">
        <f t="shared" ca="1" si="207"/>
        <v>2.7531581670325505</v>
      </c>
      <c r="Y513" s="314" t="str">
        <f t="shared" ca="1" si="225"/>
        <v/>
      </c>
      <c r="Z513" s="315" t="str">
        <f t="shared" ca="1" si="226"/>
        <v/>
      </c>
      <c r="AA513" s="316" t="str">
        <f t="shared" ca="1" si="227"/>
        <v/>
      </c>
      <c r="AC513" s="310" t="e">
        <f t="shared" ca="1" si="228"/>
        <v>#N/A</v>
      </c>
      <c r="AD513" s="323" t="e">
        <f t="shared" ca="1" si="229"/>
        <v>#N/A</v>
      </c>
      <c r="AE513" s="324">
        <f t="shared" ca="1" si="208"/>
        <v>1553.8253422587272</v>
      </c>
      <c r="AG513" s="306">
        <f t="shared" ca="1" si="230"/>
        <v>-9.149257663492623</v>
      </c>
      <c r="AH513" s="304">
        <f t="shared" ca="1" si="231"/>
        <v>-0.38968201985251588</v>
      </c>
    </row>
    <row r="514" spans="1:34" x14ac:dyDescent="0.2">
      <c r="A514" s="347">
        <f t="shared" ca="1" si="209"/>
        <v>0.1</v>
      </c>
      <c r="B514" s="304">
        <f t="shared" ca="1" si="210"/>
        <v>14.99999999999992</v>
      </c>
      <c r="D514" s="306">
        <f t="shared" ca="1" si="211"/>
        <v>-0.17025189571292604</v>
      </c>
      <c r="E514" s="307">
        <f t="shared" ca="1" si="212"/>
        <v>-10.136215978687655</v>
      </c>
      <c r="F514" s="304">
        <f t="shared" ca="1" si="213"/>
        <v>10.13764568697273</v>
      </c>
      <c r="G514" s="306">
        <f t="shared" ca="1" si="214"/>
        <v>14.565327722653773</v>
      </c>
      <c r="H514" s="307">
        <f t="shared" ca="1" si="215"/>
        <v>26.927309731620653</v>
      </c>
      <c r="I514" s="304">
        <f t="shared" ca="1" si="216"/>
        <v>30.614192477524846</v>
      </c>
      <c r="J514" s="306">
        <f t="shared" ca="1" si="217"/>
        <v>246.02798852275947</v>
      </c>
      <c r="K514" s="307">
        <f t="shared" ca="1" si="218"/>
        <v>1556.5687543117826</v>
      </c>
      <c r="L514" s="304">
        <f t="shared" ca="1" si="203"/>
        <v>1575.8921467017626</v>
      </c>
      <c r="M514" s="306">
        <f t="shared" ca="1" si="219"/>
        <v>1.0749565776690819</v>
      </c>
      <c r="N514" s="304">
        <f t="shared" ca="1" si="220"/>
        <v>61.59047506026527</v>
      </c>
      <c r="P514" s="310">
        <f t="shared" ca="1" si="221"/>
        <v>23</v>
      </c>
      <c r="Q514" s="304">
        <f t="shared" ca="1" si="222"/>
        <v>0</v>
      </c>
      <c r="R514" s="306">
        <f t="shared" ca="1" si="223"/>
        <v>0</v>
      </c>
      <c r="S514" s="307">
        <f t="shared" ca="1" si="224"/>
        <v>7.4819999999999904</v>
      </c>
      <c r="T514" s="304">
        <f t="shared" ca="1" si="204"/>
        <v>73.398419999999916</v>
      </c>
      <c r="U514" s="311">
        <f t="shared" ca="1" si="205"/>
        <v>0</v>
      </c>
      <c r="V514" s="306">
        <f t="shared" ca="1" si="206"/>
        <v>1.0480890318617586</v>
      </c>
      <c r="W514" s="304">
        <f t="shared" ca="1" si="207"/>
        <v>2.5969207496747742</v>
      </c>
      <c r="Y514" s="314" t="str">
        <f t="shared" ca="1" si="225"/>
        <v/>
      </c>
      <c r="Z514" s="315" t="str">
        <f t="shared" ca="1" si="226"/>
        <v/>
      </c>
      <c r="AA514" s="316" t="str">
        <f t="shared" ca="1" si="227"/>
        <v/>
      </c>
      <c r="AC514" s="310">
        <f t="shared" ca="1" si="228"/>
        <v>14.99999999999992</v>
      </c>
      <c r="AD514" s="323">
        <f t="shared" ca="1" si="229"/>
        <v>246.02798852275947</v>
      </c>
      <c r="AE514" s="324">
        <f t="shared" ca="1" si="208"/>
        <v>1556.5687543117826</v>
      </c>
      <c r="AG514" s="306">
        <f t="shared" ca="1" si="230"/>
        <v>-9.0647968440566515</v>
      </c>
      <c r="AH514" s="304">
        <f t="shared" ca="1" si="231"/>
        <v>-0.36797088573009273</v>
      </c>
    </row>
    <row r="515" spans="1:34" x14ac:dyDescent="0.2">
      <c r="A515" s="347">
        <f t="shared" ca="1" si="209"/>
        <v>0.1</v>
      </c>
      <c r="B515" s="304">
        <f t="shared" ca="1" si="210"/>
        <v>15.09999999999992</v>
      </c>
      <c r="D515" s="306">
        <f t="shared" ca="1" si="211"/>
        <v>-0.16513473924253802</v>
      </c>
      <c r="E515" s="307">
        <f t="shared" ca="1" si="212"/>
        <v>-10.11528899560003</v>
      </c>
      <c r="F515" s="304">
        <f t="shared" ca="1" si="213"/>
        <v>10.116636839711692</v>
      </c>
      <c r="G515" s="306">
        <f t="shared" ca="1" si="214"/>
        <v>14.548814248729519</v>
      </c>
      <c r="H515" s="307">
        <f t="shared" ca="1" si="215"/>
        <v>25.915780832060651</v>
      </c>
      <c r="I515" s="304">
        <f t="shared" ca="1" si="216"/>
        <v>29.720290916803577</v>
      </c>
      <c r="J515" s="306">
        <f t="shared" ca="1" si="217"/>
        <v>247.48369562132865</v>
      </c>
      <c r="K515" s="307">
        <f t="shared" ca="1" si="218"/>
        <v>1559.2109088399668</v>
      </c>
      <c r="L515" s="304">
        <f t="shared" ca="1" si="203"/>
        <v>1578.7295011634976</v>
      </c>
      <c r="M515" s="306">
        <f t="shared" ca="1" si="219"/>
        <v>1.0592518193975899</v>
      </c>
      <c r="N515" s="304">
        <f t="shared" ca="1" si="220"/>
        <v>60.690658693035608</v>
      </c>
      <c r="P515" s="310">
        <f t="shared" ca="1" si="221"/>
        <v>23</v>
      </c>
      <c r="Q515" s="304">
        <f t="shared" ca="1" si="222"/>
        <v>0</v>
      </c>
      <c r="R515" s="306">
        <f t="shared" ca="1" si="223"/>
        <v>0</v>
      </c>
      <c r="S515" s="307">
        <f t="shared" ca="1" si="224"/>
        <v>7.4819999999999904</v>
      </c>
      <c r="T515" s="304">
        <f t="shared" ca="1" si="204"/>
        <v>73.398419999999916</v>
      </c>
      <c r="U515" s="311">
        <f t="shared" ca="1" si="205"/>
        <v>0</v>
      </c>
      <c r="V515" s="306">
        <f t="shared" ca="1" si="206"/>
        <v>1.0478104570797828</v>
      </c>
      <c r="W515" s="304">
        <f t="shared" ca="1" si="207"/>
        <v>2.4468297051718677</v>
      </c>
      <c r="Y515" s="314" t="str">
        <f t="shared" ca="1" si="225"/>
        <v/>
      </c>
      <c r="Z515" s="315" t="str">
        <f t="shared" ca="1" si="226"/>
        <v/>
      </c>
      <c r="AA515" s="316" t="str">
        <f t="shared" ca="1" si="227"/>
        <v/>
      </c>
      <c r="AC515" s="310" t="e">
        <f t="shared" ca="1" si="228"/>
        <v>#N/A</v>
      </c>
      <c r="AD515" s="323" t="e">
        <f t="shared" ca="1" si="229"/>
        <v>#N/A</v>
      </c>
      <c r="AE515" s="324">
        <f t="shared" ca="1" si="208"/>
        <v>1559.2109088399668</v>
      </c>
      <c r="AG515" s="306">
        <f t="shared" ca="1" si="230"/>
        <v>-8.9756658323281915</v>
      </c>
      <c r="AH515" s="304">
        <f t="shared" ca="1" si="231"/>
        <v>-0.3470891138298286</v>
      </c>
    </row>
    <row r="516" spans="1:34" x14ac:dyDescent="0.2">
      <c r="A516" s="347">
        <f t="shared" ca="1" si="209"/>
        <v>0.1</v>
      </c>
      <c r="B516" s="304">
        <f t="shared" ca="1" si="210"/>
        <v>15.199999999999919</v>
      </c>
      <c r="D516" s="306">
        <f t="shared" ca="1" si="211"/>
        <v>-0.1600886651224637</v>
      </c>
      <c r="E516" s="307">
        <f t="shared" ca="1" si="212"/>
        <v>-10.09516569722328</v>
      </c>
      <c r="F516" s="304">
        <f t="shared" ca="1" si="213"/>
        <v>10.096434956710922</v>
      </c>
      <c r="G516" s="306">
        <f t="shared" ca="1" si="214"/>
        <v>14.532805382217273</v>
      </c>
      <c r="H516" s="307">
        <f t="shared" ca="1" si="215"/>
        <v>24.906264262338322</v>
      </c>
      <c r="I516" s="304">
        <f t="shared" ca="1" si="216"/>
        <v>28.836165344629901</v>
      </c>
      <c r="J516" s="306">
        <f t="shared" ca="1" si="217"/>
        <v>248.937776602876</v>
      </c>
      <c r="K516" s="307">
        <f t="shared" ca="1" si="218"/>
        <v>1561.7520110946868</v>
      </c>
      <c r="L516" s="304">
        <f t="shared" ref="L516:L579" ca="1" si="232">SQRT(pos_x^2+pos_z^2)</f>
        <v>1581.4674706671276</v>
      </c>
      <c r="M516" s="306">
        <f t="shared" ca="1" si="219"/>
        <v>1.0425975295117957</v>
      </c>
      <c r="N516" s="304">
        <f t="shared" ca="1" si="220"/>
        <v>59.736438171792187</v>
      </c>
      <c r="P516" s="310">
        <f t="shared" ca="1" si="221"/>
        <v>23</v>
      </c>
      <c r="Q516" s="304">
        <f t="shared" ca="1" si="222"/>
        <v>0</v>
      </c>
      <c r="R516" s="306">
        <f t="shared" ca="1" si="223"/>
        <v>0</v>
      </c>
      <c r="S516" s="307">
        <f t="shared" ca="1" si="224"/>
        <v>7.4819999999999904</v>
      </c>
      <c r="T516" s="304">
        <f t="shared" ref="T516:T579" ca="1" si="233">m*g</f>
        <v>73.398419999999916</v>
      </c>
      <c r="U516" s="311">
        <f t="shared" ref="U516:U579" ca="1" si="234">IF(pos_xz&lt;L_rampe,Poids*COS(Beta),0)</f>
        <v>0</v>
      </c>
      <c r="V516" s="306">
        <f t="shared" ref="V516:V579" ca="1" si="235">Rho_moyen*(20000-Alt_rampe-pos_z)/(20000+Alt_rampe+pos_z)</f>
        <v>1.0475426011201157</v>
      </c>
      <c r="W516" s="304">
        <f t="shared" ref="W516:W579" ca="1" si="236">1/2*Rho*Sref*Cx*vit_xz^2</f>
        <v>2.3028285835752729</v>
      </c>
      <c r="Y516" s="314" t="str">
        <f t="shared" ca="1" si="225"/>
        <v/>
      </c>
      <c r="Z516" s="315" t="str">
        <f t="shared" ca="1" si="226"/>
        <v/>
      </c>
      <c r="AA516" s="316" t="str">
        <f t="shared" ca="1" si="227"/>
        <v/>
      </c>
      <c r="AC516" s="310" t="e">
        <f t="shared" ca="1" si="228"/>
        <v>#N/A</v>
      </c>
      <c r="AD516" s="323" t="e">
        <f t="shared" ca="1" si="229"/>
        <v>#N/A</v>
      </c>
      <c r="AE516" s="324">
        <f t="shared" ref="AE516:AE579" ca="1" si="237">IF(t&lt;T_para, pos_z, NA())</f>
        <v>1561.7520110946868</v>
      </c>
      <c r="AG516" s="306">
        <f t="shared" ca="1" si="230"/>
        <v>-8.8812455659891381</v>
      </c>
      <c r="AH516" s="304">
        <f t="shared" ca="1" si="231"/>
        <v>-0.32702882988129789</v>
      </c>
    </row>
    <row r="517" spans="1:34" x14ac:dyDescent="0.2">
      <c r="A517" s="347">
        <f t="shared" ref="A517:A580" ca="1" si="238">IF(B516+0.01&lt;=T_ini+ROUNDUP(Temps_fin_propu,0), 0.01, IF(K516&gt;0, 0.1, 0.0001))</f>
        <v>0.1</v>
      </c>
      <c r="B517" s="304">
        <f t="shared" ref="B517:B580" ca="1" si="239">B516+pas</f>
        <v>15.299999999999919</v>
      </c>
      <c r="D517" s="306">
        <f t="shared" ref="D517:D580" ca="1" si="240">IF(AND(L516&lt;L_rampe,Poussee&lt;Poids*SIN(M516)),0,(-W516+Poussee)/m*COS(M516)-U516/m*SIN(M516))</f>
        <v>-0.1551157361229519</v>
      </c>
      <c r="E517" s="307">
        <f t="shared" ref="E517:E580" ca="1" si="241">IF(AND(L516&lt;L_rampe,Poussee&lt;Poids*SIN(M516)),0,(-W516+Poussee)/m*SIN(M516)+U516/m*COS(M516)-Poids/m)</f>
        <v>-10.075836733756352</v>
      </c>
      <c r="F517" s="304">
        <f t="shared" ref="F517:F580" ca="1" si="242">SQRT(acc_x^2+acc_z^2)</f>
        <v>10.077030652772018</v>
      </c>
      <c r="G517" s="306">
        <f t="shared" ref="G517:G580" ca="1" si="243">G516+acc_x*pas</f>
        <v>14.517293808604977</v>
      </c>
      <c r="H517" s="307">
        <f t="shared" ref="H517:H580" ca="1" si="244">H516+acc_z*pas</f>
        <v>23.898680588962687</v>
      </c>
      <c r="I517" s="304">
        <f t="shared" ref="I517:I580" ca="1" si="245">SQRT(vit_x^2+vit_z^2)</f>
        <v>27.962452564441168</v>
      </c>
      <c r="J517" s="306">
        <f t="shared" ref="J517:J580" ca="1" si="246">J516+0.5*(vit_x+G516)*pas*(K516&gt;=0)</f>
        <v>250.3902815624171</v>
      </c>
      <c r="K517" s="307">
        <f t="shared" ref="K517:K580" ca="1" si="247">K516+0.5*(vit_z+H516)*pas</f>
        <v>1564.1922583372518</v>
      </c>
      <c r="L517" s="304">
        <f t="shared" ca="1" si="232"/>
        <v>1584.1062824643739</v>
      </c>
      <c r="M517" s="306">
        <f t="shared" ref="M517:M580" ca="1" si="248">IF(AND(L516&gt;L_rampe,G517&gt;0),ATAN2(G517,H517),$M$4)</f>
        <v>1.0249156540199882</v>
      </c>
      <c r="N517" s="304">
        <f t="shared" ref="N517:N580" ca="1" si="249">DEGREES(Beta)</f>
        <v>58.723341332235812</v>
      </c>
      <c r="P517" s="310">
        <f t="shared" ref="P517:P580" ca="1" si="250">MATCH(t-pas/2-T_ini,CdP_t)</f>
        <v>23</v>
      </c>
      <c r="Q517" s="304">
        <f t="shared" ref="Q517:Q580" ca="1" si="251">(INDEX(CdP,2,i_P+1)-INDEX(CdP,2,i_P+0))/(INDEX(CdP,1,i_P+1)-INDEX(CdP,1,i_P+0))*(t-pas/2-T_ini-INDEX(CdP,1,i_P+0))+INDEX(CdP,2,i_P+0)</f>
        <v>0</v>
      </c>
      <c r="R517" s="306">
        <f t="shared" ref="R517:R580" ca="1" si="252">Poussee/(g*ISP)</f>
        <v>0</v>
      </c>
      <c r="S517" s="307">
        <f t="shared" ref="S517:S580" ca="1" si="253">S516-Débit*pas</f>
        <v>7.4819999999999904</v>
      </c>
      <c r="T517" s="304">
        <f t="shared" ca="1" si="233"/>
        <v>73.398419999999916</v>
      </c>
      <c r="U517" s="311">
        <f t="shared" ca="1" si="234"/>
        <v>0</v>
      </c>
      <c r="V517" s="306">
        <f t="shared" ca="1" si="235"/>
        <v>1.0472854356418282</v>
      </c>
      <c r="W517" s="304">
        <f t="shared" ca="1" si="236"/>
        <v>2.1648633505434849</v>
      </c>
      <c r="Y517" s="314" t="str">
        <f t="shared" ref="Y517:Y580" ca="1" si="254">IF(AND(pos_z&lt;=0,K516&gt;0),"Impact balistique","") &amp; IF(AND(H518&lt;0,vit_z&gt;=0),"Apogée","") &amp; IF(AND(Poussee=0,Q516&gt;0),"Fin de propulsion","") &amp; IF(AND(L518&gt;L_rampe,pos_xz&lt;=L_rampe),"Sortie de rampe","")</f>
        <v/>
      </c>
      <c r="Z517" s="315" t="str">
        <f t="shared" ref="Z517:Z580" ca="1" si="255">IF(ABS(t-T_para)&lt;pas/2,"Para","")</f>
        <v/>
      </c>
      <c r="AA517" s="316" t="str">
        <f t="shared" ref="AA517:AA580" ca="1" si="256">IF(ABS(t-T_satellite)&lt;pas/2,"Satellite","")</f>
        <v/>
      </c>
      <c r="AC517" s="310" t="e">
        <f t="shared" ref="AC517:AC580" ca="1" si="257">IF(ABS(t-ROUND(t,0))&lt;0.001,t,NA())</f>
        <v>#N/A</v>
      </c>
      <c r="AD517" s="323" t="e">
        <f t="shared" ref="AD517:AD580" ca="1" si="258">IF(ABS(t-ROUND(t,0))&lt;0.001,pos_x,NA())</f>
        <v>#N/A</v>
      </c>
      <c r="AE517" s="324">
        <f t="shared" ca="1" si="237"/>
        <v>1564.1922583372518</v>
      </c>
      <c r="AG517" s="306">
        <f t="shared" ref="AG517:AG580" ca="1" si="259">IF(AND(L516&lt;L_rampe,Poussee&lt;Poids*SIN(M516)),0,(-W516+Poussee)/m-Poids*SIN(M516)/m)</f>
        <v>-8.7808387881594587</v>
      </c>
      <c r="AH517" s="304">
        <f t="shared" ref="AH517:AH580" ca="1" si="260">IF(AND(L516&lt;L_rampe,Poussee&lt;Poids*SIN(M516)), g*SIN(M516), (-W516+Poussee)/m)</f>
        <v>-0.30778248911725153</v>
      </c>
    </row>
    <row r="518" spans="1:34" x14ac:dyDescent="0.2">
      <c r="A518" s="347">
        <f t="shared" ca="1" si="238"/>
        <v>0.1</v>
      </c>
      <c r="B518" s="304">
        <f t="shared" ca="1" si="239"/>
        <v>15.399999999999919</v>
      </c>
      <c r="D518" s="306">
        <f t="shared" ca="1" si="240"/>
        <v>-0.15021842022292872</v>
      </c>
      <c r="E518" s="307">
        <f t="shared" ca="1" si="241"/>
        <v>-10.057292786852493</v>
      </c>
      <c r="F518" s="304">
        <f t="shared" ca="1" si="242"/>
        <v>10.058414575580461</v>
      </c>
      <c r="G518" s="306">
        <f t="shared" ca="1" si="243"/>
        <v>14.502271966582684</v>
      </c>
      <c r="H518" s="307">
        <f t="shared" ca="1" si="244"/>
        <v>22.892951310277439</v>
      </c>
      <c r="I518" s="304">
        <f t="shared" ca="1" si="245"/>
        <v>27.09987291275484</v>
      </c>
      <c r="J518" s="306">
        <f t="shared" ca="1" si="246"/>
        <v>251.84125985117649</v>
      </c>
      <c r="K518" s="307">
        <f t="shared" ca="1" si="247"/>
        <v>1566.5318399322139</v>
      </c>
      <c r="L518" s="304">
        <f t="shared" ca="1" si="232"/>
        <v>1586.6461564207802</v>
      </c>
      <c r="M518" s="306">
        <f t="shared" ca="1" si="248"/>
        <v>1.0061208531741999</v>
      </c>
      <c r="N518" s="304">
        <f t="shared" ca="1" si="249"/>
        <v>57.646478566983227</v>
      </c>
      <c r="P518" s="310">
        <f t="shared" ca="1" si="250"/>
        <v>23</v>
      </c>
      <c r="Q518" s="304">
        <f t="shared" ca="1" si="251"/>
        <v>0</v>
      </c>
      <c r="R518" s="306">
        <f t="shared" ca="1" si="252"/>
        <v>0</v>
      </c>
      <c r="S518" s="307">
        <f t="shared" ca="1" si="253"/>
        <v>7.4819999999999904</v>
      </c>
      <c r="T518" s="304">
        <f t="shared" ca="1" si="233"/>
        <v>73.398419999999916</v>
      </c>
      <c r="U518" s="311">
        <f t="shared" ca="1" si="234"/>
        <v>0</v>
      </c>
      <c r="V518" s="306">
        <f t="shared" ca="1" si="235"/>
        <v>1.0470389334585757</v>
      </c>
      <c r="W518" s="304">
        <f t="shared" ca="1" si="236"/>
        <v>2.0328823392054747</v>
      </c>
      <c r="Y518" s="314" t="str">
        <f t="shared" ca="1" si="254"/>
        <v/>
      </c>
      <c r="Z518" s="315" t="str">
        <f t="shared" ca="1" si="255"/>
        <v/>
      </c>
      <c r="AA518" s="316" t="str">
        <f t="shared" ca="1" si="256"/>
        <v/>
      </c>
      <c r="AC518" s="310" t="e">
        <f t="shared" ca="1" si="257"/>
        <v>#N/A</v>
      </c>
      <c r="AD518" s="323" t="e">
        <f t="shared" ca="1" si="258"/>
        <v>#N/A</v>
      </c>
      <c r="AE518" s="324">
        <f t="shared" ca="1" si="237"/>
        <v>1566.5318399322139</v>
      </c>
      <c r="AG518" s="306">
        <f t="shared" ca="1" si="259"/>
        <v>-8.6736595184405285</v>
      </c>
      <c r="AH518" s="304">
        <f t="shared" ca="1" si="260"/>
        <v>-0.28934286962623468</v>
      </c>
    </row>
    <row r="519" spans="1:34" x14ac:dyDescent="0.2">
      <c r="A519" s="347">
        <f t="shared" ca="1" si="238"/>
        <v>0.1</v>
      </c>
      <c r="B519" s="304">
        <f t="shared" ca="1" si="239"/>
        <v>15.499999999999918</v>
      </c>
      <c r="D519" s="306">
        <f t="shared" ca="1" si="240"/>
        <v>-0.14539963965130626</v>
      </c>
      <c r="E519" s="307">
        <f t="shared" ca="1" si="241"/>
        <v>-10.039524510279447</v>
      </c>
      <c r="F519" s="304">
        <f t="shared" ca="1" si="242"/>
        <v>10.040577346333851</v>
      </c>
      <c r="G519" s="306">
        <f t="shared" ca="1" si="243"/>
        <v>14.487732002617554</v>
      </c>
      <c r="H519" s="307">
        <f t="shared" ca="1" si="244"/>
        <v>21.888998859249494</v>
      </c>
      <c r="I519" s="304">
        <f t="shared" ca="1" si="245"/>
        <v>26.249240934546936</v>
      </c>
      <c r="J519" s="306">
        <f t="shared" ca="1" si="246"/>
        <v>253.2907600496365</v>
      </c>
      <c r="K519" s="307">
        <f t="shared" ca="1" si="247"/>
        <v>1568.7709374406902</v>
      </c>
      <c r="L519" s="304">
        <f t="shared" ca="1" si="232"/>
        <v>1589.0873051173321</v>
      </c>
      <c r="M519" s="306">
        <f t="shared" ca="1" si="248"/>
        <v>0.98611993167167744</v>
      </c>
      <c r="N519" s="304">
        <f t="shared" ca="1" si="249"/>
        <v>56.500510178516237</v>
      </c>
      <c r="P519" s="310">
        <f t="shared" ca="1" si="250"/>
        <v>23</v>
      </c>
      <c r="Q519" s="304">
        <f t="shared" ca="1" si="251"/>
        <v>0</v>
      </c>
      <c r="R519" s="306">
        <f t="shared" ca="1" si="252"/>
        <v>0</v>
      </c>
      <c r="S519" s="307">
        <f t="shared" ca="1" si="253"/>
        <v>7.4819999999999904</v>
      </c>
      <c r="T519" s="304">
        <f t="shared" ca="1" si="233"/>
        <v>73.398419999999916</v>
      </c>
      <c r="U519" s="311">
        <f t="shared" ca="1" si="234"/>
        <v>0</v>
      </c>
      <c r="V519" s="306">
        <f t="shared" ca="1" si="235"/>
        <v>1.0468030685254357</v>
      </c>
      <c r="W519" s="304">
        <f t="shared" ca="1" si="236"/>
        <v>1.9068362034518833</v>
      </c>
      <c r="Y519" s="314" t="str">
        <f t="shared" ca="1" si="254"/>
        <v/>
      </c>
      <c r="Z519" s="315" t="str">
        <f t="shared" ca="1" si="255"/>
        <v/>
      </c>
      <c r="AA519" s="316" t="str">
        <f t="shared" ca="1" si="256"/>
        <v/>
      </c>
      <c r="AC519" s="310" t="e">
        <f t="shared" ca="1" si="257"/>
        <v>#N/A</v>
      </c>
      <c r="AD519" s="323" t="e">
        <f t="shared" ca="1" si="258"/>
        <v>#N/A</v>
      </c>
      <c r="AE519" s="324">
        <f t="shared" ca="1" si="237"/>
        <v>1568.7709374406902</v>
      </c>
      <c r="AG519" s="306">
        <f t="shared" ca="1" si="259"/>
        <v>-8.5588213515593399</v>
      </c>
      <c r="AH519" s="304">
        <f t="shared" ca="1" si="260"/>
        <v>-0.27170306591893573</v>
      </c>
    </row>
    <row r="520" spans="1:34" x14ac:dyDescent="0.2">
      <c r="A520" s="347">
        <f t="shared" ca="1" si="238"/>
        <v>0.1</v>
      </c>
      <c r="B520" s="304">
        <f t="shared" ca="1" si="239"/>
        <v>15.599999999999918</v>
      </c>
      <c r="D520" s="306">
        <f t="shared" ca="1" si="240"/>
        <v>-0.14066282638351688</v>
      </c>
      <c r="E520" s="307">
        <f t="shared" ca="1" si="241"/>
        <v>-10.022522460084941</v>
      </c>
      <c r="F520" s="304">
        <f t="shared" ca="1" si="242"/>
        <v>10.023509489875954</v>
      </c>
      <c r="G520" s="306">
        <f t="shared" ca="1" si="243"/>
        <v>14.473665719979202</v>
      </c>
      <c r="H520" s="307">
        <f t="shared" ca="1" si="244"/>
        <v>20.886746613240998</v>
      </c>
      <c r="I520" s="304">
        <f t="shared" ca="1" si="245"/>
        <v>25.411477396236439</v>
      </c>
      <c r="J520" s="306">
        <f t="shared" ca="1" si="246"/>
        <v>254.73882993576635</v>
      </c>
      <c r="K520" s="307">
        <f t="shared" ca="1" si="247"/>
        <v>1570.9097247143147</v>
      </c>
      <c r="L520" s="304">
        <f t="shared" ca="1" si="232"/>
        <v>1591.4299339521824</v>
      </c>
      <c r="M520" s="306">
        <f t="shared" ca="1" si="248"/>
        <v>0.96481129752131967</v>
      </c>
      <c r="N520" s="304">
        <f t="shared" ca="1" si="249"/>
        <v>55.279615374512403</v>
      </c>
      <c r="P520" s="310">
        <f t="shared" ca="1" si="250"/>
        <v>23</v>
      </c>
      <c r="Q520" s="304">
        <f t="shared" ca="1" si="251"/>
        <v>0</v>
      </c>
      <c r="R520" s="306">
        <f t="shared" ca="1" si="252"/>
        <v>0</v>
      </c>
      <c r="S520" s="307">
        <f t="shared" ca="1" si="253"/>
        <v>7.4819999999999904</v>
      </c>
      <c r="T520" s="304">
        <f t="shared" ca="1" si="233"/>
        <v>73.398419999999916</v>
      </c>
      <c r="U520" s="311">
        <f t="shared" ca="1" si="234"/>
        <v>0</v>
      </c>
      <c r="V520" s="306">
        <f t="shared" ca="1" si="235"/>
        <v>1.0465778159258399</v>
      </c>
      <c r="W520" s="304">
        <f t="shared" ca="1" si="236"/>
        <v>1.7866778724642125</v>
      </c>
      <c r="Y520" s="314" t="str">
        <f t="shared" ca="1" si="254"/>
        <v/>
      </c>
      <c r="Z520" s="315" t="str">
        <f t="shared" ca="1" si="255"/>
        <v/>
      </c>
      <c r="AA520" s="316" t="str">
        <f t="shared" ca="1" si="256"/>
        <v/>
      </c>
      <c r="AC520" s="310" t="e">
        <f t="shared" ca="1" si="257"/>
        <v>#N/A</v>
      </c>
      <c r="AD520" s="323" t="e">
        <f t="shared" ca="1" si="258"/>
        <v>#N/A</v>
      </c>
      <c r="AE520" s="324">
        <f t="shared" ca="1" si="237"/>
        <v>1570.9097247143147</v>
      </c>
      <c r="AG520" s="306">
        <f t="shared" ca="1" si="259"/>
        <v>-8.435324609160876</v>
      </c>
      <c r="AH520" s="304">
        <f t="shared" ca="1" si="260"/>
        <v>-0.25485648268536298</v>
      </c>
    </row>
    <row r="521" spans="1:34" x14ac:dyDescent="0.2">
      <c r="A521" s="347">
        <f t="shared" ca="1" si="238"/>
        <v>0.1</v>
      </c>
      <c r="B521" s="304">
        <f t="shared" ca="1" si="239"/>
        <v>15.699999999999918</v>
      </c>
      <c r="D521" s="306">
        <f t="shared" ca="1" si="240"/>
        <v>-0.13601198466169787</v>
      </c>
      <c r="E521" s="307">
        <f t="shared" ca="1" si="241"/>
        <v>-10.006277011985391</v>
      </c>
      <c r="F521" s="304">
        <f t="shared" ca="1" si="242"/>
        <v>10.007201352054375</v>
      </c>
      <c r="G521" s="306">
        <f t="shared" ca="1" si="243"/>
        <v>14.460064521513033</v>
      </c>
      <c r="H521" s="307">
        <f t="shared" ca="1" si="244"/>
        <v>19.886118912042459</v>
      </c>
      <c r="I521" s="304">
        <f t="shared" ca="1" si="245"/>
        <v>24.587622726693457</v>
      </c>
      <c r="J521" s="306">
        <f t="shared" ca="1" si="246"/>
        <v>256.18551644784094</v>
      </c>
      <c r="K521" s="307">
        <f t="shared" ca="1" si="247"/>
        <v>1572.9483679905788</v>
      </c>
      <c r="L521" s="304">
        <f t="shared" ca="1" si="232"/>
        <v>1593.674241243132</v>
      </c>
      <c r="M521" s="306">
        <f t="shared" ca="1" si="248"/>
        <v>0.94208448777763198</v>
      </c>
      <c r="N521" s="304">
        <f t="shared" ca="1" si="249"/>
        <v>53.977465094402298</v>
      </c>
      <c r="P521" s="310">
        <f t="shared" ca="1" si="250"/>
        <v>23</v>
      </c>
      <c r="Q521" s="304">
        <f t="shared" ca="1" si="251"/>
        <v>0</v>
      </c>
      <c r="R521" s="306">
        <f t="shared" ca="1" si="252"/>
        <v>0</v>
      </c>
      <c r="S521" s="307">
        <f t="shared" ca="1" si="253"/>
        <v>7.4819999999999904</v>
      </c>
      <c r="T521" s="304">
        <f t="shared" ca="1" si="233"/>
        <v>73.398419999999916</v>
      </c>
      <c r="U521" s="311">
        <f t="shared" ca="1" si="234"/>
        <v>0</v>
      </c>
      <c r="V521" s="306">
        <f t="shared" ca="1" si="235"/>
        <v>1.0463631518585108</v>
      </c>
      <c r="W521" s="304">
        <f t="shared" ca="1" si="236"/>
        <v>1.6723625062690524</v>
      </c>
      <c r="Y521" s="314" t="str">
        <f t="shared" ca="1" si="254"/>
        <v/>
      </c>
      <c r="Z521" s="315" t="str">
        <f t="shared" ca="1" si="255"/>
        <v/>
      </c>
      <c r="AA521" s="316" t="str">
        <f t="shared" ca="1" si="256"/>
        <v/>
      </c>
      <c r="AC521" s="310" t="e">
        <f t="shared" ca="1" si="257"/>
        <v>#N/A</v>
      </c>
      <c r="AD521" s="323" t="e">
        <f t="shared" ca="1" si="258"/>
        <v>#N/A</v>
      </c>
      <c r="AE521" s="324">
        <f t="shared" ca="1" si="237"/>
        <v>1572.9483679905788</v>
      </c>
      <c r="AG521" s="306">
        <f t="shared" ca="1" si="259"/>
        <v>-8.3020424669360935</v>
      </c>
      <c r="AH521" s="304">
        <f t="shared" ca="1" si="260"/>
        <v>-0.23879682871748392</v>
      </c>
    </row>
    <row r="522" spans="1:34" x14ac:dyDescent="0.2">
      <c r="A522" s="347">
        <f t="shared" ca="1" si="238"/>
        <v>0.1</v>
      </c>
      <c r="B522" s="304">
        <f t="shared" ca="1" si="239"/>
        <v>15.799999999999917</v>
      </c>
      <c r="D522" s="306">
        <f t="shared" ca="1" si="240"/>
        <v>-0.13145176100443451</v>
      </c>
      <c r="E522" s="307">
        <f t="shared" ca="1" si="241"/>
        <v>-9.9907782632395925</v>
      </c>
      <c r="F522" s="304">
        <f t="shared" ca="1" si="242"/>
        <v>9.9916430015634514</v>
      </c>
      <c r="G522" s="306">
        <f t="shared" ca="1" si="243"/>
        <v>14.446919345412589</v>
      </c>
      <c r="H522" s="307">
        <f t="shared" ca="1" si="244"/>
        <v>18.887041085718501</v>
      </c>
      <c r="I522" s="304">
        <f t="shared" ca="1" si="245"/>
        <v>23.778851939201676</v>
      </c>
      <c r="J522" s="306">
        <f t="shared" ca="1" si="246"/>
        <v>257.6308656411872</v>
      </c>
      <c r="K522" s="307">
        <f t="shared" ca="1" si="247"/>
        <v>1574.8870259904668</v>
      </c>
      <c r="L522" s="304">
        <f t="shared" ca="1" si="232"/>
        <v>1595.8204183316257</v>
      </c>
      <c r="M522" s="306">
        <f t="shared" ca="1" si="248"/>
        <v>0.91781981536091328</v>
      </c>
      <c r="N522" s="304">
        <f t="shared" ca="1" si="249"/>
        <v>52.587201773656815</v>
      </c>
      <c r="P522" s="310">
        <f t="shared" ca="1" si="250"/>
        <v>23</v>
      </c>
      <c r="Q522" s="304">
        <f t="shared" ca="1" si="251"/>
        <v>0</v>
      </c>
      <c r="R522" s="306">
        <f t="shared" ca="1" si="252"/>
        <v>0</v>
      </c>
      <c r="S522" s="307">
        <f t="shared" ca="1" si="253"/>
        <v>7.4819999999999904</v>
      </c>
      <c r="T522" s="304">
        <f t="shared" ca="1" si="233"/>
        <v>73.398419999999916</v>
      </c>
      <c r="U522" s="311">
        <f t="shared" ca="1" si="234"/>
        <v>0</v>
      </c>
      <c r="V522" s="306">
        <f t="shared" ca="1" si="235"/>
        <v>1.0461590536243142</v>
      </c>
      <c r="W522" s="304">
        <f t="shared" ca="1" si="236"/>
        <v>1.5638474520755161</v>
      </c>
      <c r="Y522" s="314" t="str">
        <f t="shared" ca="1" si="254"/>
        <v/>
      </c>
      <c r="Z522" s="315" t="str">
        <f t="shared" ca="1" si="255"/>
        <v/>
      </c>
      <c r="AA522" s="316" t="str">
        <f t="shared" ca="1" si="256"/>
        <v/>
      </c>
      <c r="AC522" s="310" t="e">
        <f t="shared" ca="1" si="257"/>
        <v>#N/A</v>
      </c>
      <c r="AD522" s="323" t="e">
        <f t="shared" ca="1" si="258"/>
        <v>#N/A</v>
      </c>
      <c r="AE522" s="324">
        <f t="shared" ca="1" si="237"/>
        <v>1574.8870259904668</v>
      </c>
      <c r="AG522" s="306">
        <f t="shared" ca="1" si="259"/>
        <v>-8.157706328170752</v>
      </c>
      <c r="AH522" s="304">
        <f t="shared" ca="1" si="260"/>
        <v>-0.22351811096886587</v>
      </c>
    </row>
    <row r="523" spans="1:34" x14ac:dyDescent="0.2">
      <c r="A523" s="347">
        <f t="shared" ca="1" si="238"/>
        <v>0.1</v>
      </c>
      <c r="B523" s="304">
        <f t="shared" ca="1" si="239"/>
        <v>15.899999999999917</v>
      </c>
      <c r="D523" s="306">
        <f t="shared" ca="1" si="240"/>
        <v>-0.12698752197268828</v>
      </c>
      <c r="E523" s="307">
        <f t="shared" ca="1" si="241"/>
        <v>-9.9760159157483859</v>
      </c>
      <c r="F523" s="304">
        <f t="shared" ca="1" si="242"/>
        <v>9.9768241130132118</v>
      </c>
      <c r="G523" s="306">
        <f t="shared" ca="1" si="243"/>
        <v>14.43422059321532</v>
      </c>
      <c r="H523" s="307">
        <f t="shared" ca="1" si="244"/>
        <v>17.889439494143662</v>
      </c>
      <c r="I523" s="304">
        <f t="shared" ca="1" si="245"/>
        <v>22.986491022951466</v>
      </c>
      <c r="J523" s="306">
        <f t="shared" ca="1" si="246"/>
        <v>259.07492263811861</v>
      </c>
      <c r="K523" s="307">
        <f t="shared" ca="1" si="247"/>
        <v>1576.7258500194598</v>
      </c>
      <c r="L523" s="304">
        <f t="shared" ca="1" si="232"/>
        <v>1597.8686496891837</v>
      </c>
      <c r="M523" s="306">
        <f t="shared" ca="1" si="248"/>
        <v>0.8918882121445586</v>
      </c>
      <c r="N523" s="304">
        <f t="shared" ca="1" si="249"/>
        <v>51.101430353351823</v>
      </c>
      <c r="P523" s="310">
        <f t="shared" ca="1" si="250"/>
        <v>23</v>
      </c>
      <c r="Q523" s="304">
        <f t="shared" ca="1" si="251"/>
        <v>0</v>
      </c>
      <c r="R523" s="306">
        <f t="shared" ca="1" si="252"/>
        <v>0</v>
      </c>
      <c r="S523" s="307">
        <f t="shared" ca="1" si="253"/>
        <v>7.4819999999999904</v>
      </c>
      <c r="T523" s="304">
        <f t="shared" ca="1" si="233"/>
        <v>73.398419999999916</v>
      </c>
      <c r="U523" s="311">
        <f t="shared" ca="1" si="234"/>
        <v>0</v>
      </c>
      <c r="V523" s="306">
        <f t="shared" ca="1" si="235"/>
        <v>1.0459654996128995</v>
      </c>
      <c r="W523" s="304">
        <f t="shared" ca="1" si="236"/>
        <v>1.4610922011184166</v>
      </c>
      <c r="Y523" s="314" t="str">
        <f t="shared" ca="1" si="254"/>
        <v/>
      </c>
      <c r="Z523" s="315" t="str">
        <f t="shared" ca="1" si="255"/>
        <v/>
      </c>
      <c r="AA523" s="316" t="str">
        <f t="shared" ca="1" si="256"/>
        <v/>
      </c>
      <c r="AC523" s="310" t="e">
        <f t="shared" ca="1" si="257"/>
        <v>#N/A</v>
      </c>
      <c r="AD523" s="323" t="e">
        <f t="shared" ca="1" si="258"/>
        <v>#N/A</v>
      </c>
      <c r="AE523" s="324">
        <f t="shared" ca="1" si="237"/>
        <v>1576.7258500194598</v>
      </c>
      <c r="AG523" s="306">
        <f t="shared" ca="1" si="259"/>
        <v>-8.0008909364832022</v>
      </c>
      <c r="AH523" s="304">
        <f t="shared" ca="1" si="260"/>
        <v>-0.20901462871899468</v>
      </c>
    </row>
    <row r="524" spans="1:34" x14ac:dyDescent="0.2">
      <c r="A524" s="347">
        <f t="shared" ca="1" si="238"/>
        <v>0.1</v>
      </c>
      <c r="B524" s="304">
        <f t="shared" ca="1" si="239"/>
        <v>15.999999999999917</v>
      </c>
      <c r="D524" s="306">
        <f t="shared" ca="1" si="240"/>
        <v>-0.12262543961765338</v>
      </c>
      <c r="E524" s="307">
        <f t="shared" ca="1" si="241"/>
        <v>-9.9619791365467911</v>
      </c>
      <c r="F524" s="304">
        <f t="shared" ca="1" si="242"/>
        <v>9.9627338273907018</v>
      </c>
      <c r="G524" s="306">
        <f t="shared" ca="1" si="243"/>
        <v>14.421958049253554</v>
      </c>
      <c r="H524" s="307">
        <f t="shared" ca="1" si="244"/>
        <v>16.893241580488983</v>
      </c>
      <c r="I524" s="304">
        <f t="shared" ca="1" si="245"/>
        <v>22.212034690032144</v>
      </c>
      <c r="J524" s="306">
        <f t="shared" ca="1" si="246"/>
        <v>260.51773157024206</v>
      </c>
      <c r="K524" s="307">
        <f t="shared" ca="1" si="247"/>
        <v>1578.4649840731915</v>
      </c>
      <c r="L524" s="304">
        <f t="shared" ca="1" si="232"/>
        <v>1599.8191130273715</v>
      </c>
      <c r="M524" s="306">
        <f t="shared" ca="1" si="248"/>
        <v>0.86415137028133759</v>
      </c>
      <c r="N524" s="304">
        <f t="shared" ca="1" si="249"/>
        <v>49.51222637756748</v>
      </c>
      <c r="P524" s="310">
        <f t="shared" ca="1" si="250"/>
        <v>23</v>
      </c>
      <c r="Q524" s="304">
        <f t="shared" ca="1" si="251"/>
        <v>0</v>
      </c>
      <c r="R524" s="306">
        <f t="shared" ca="1" si="252"/>
        <v>0</v>
      </c>
      <c r="S524" s="307">
        <f t="shared" ca="1" si="253"/>
        <v>7.4819999999999904</v>
      </c>
      <c r="T524" s="304">
        <f t="shared" ca="1" si="233"/>
        <v>73.398419999999916</v>
      </c>
      <c r="U524" s="311">
        <f t="shared" ca="1" si="234"/>
        <v>0</v>
      </c>
      <c r="V524" s="306">
        <f t="shared" ca="1" si="235"/>
        <v>1.0457824692890028</v>
      </c>
      <c r="W524" s="304">
        <f t="shared" ca="1" si="236"/>
        <v>1.3640583456862005</v>
      </c>
      <c r="Y524" s="314" t="str">
        <f t="shared" ca="1" si="254"/>
        <v/>
      </c>
      <c r="Z524" s="315" t="str">
        <f t="shared" ca="1" si="255"/>
        <v/>
      </c>
      <c r="AA524" s="316" t="str">
        <f t="shared" ca="1" si="256"/>
        <v/>
      </c>
      <c r="AC524" s="310">
        <f t="shared" ca="1" si="257"/>
        <v>15.999999999999917</v>
      </c>
      <c r="AD524" s="323">
        <f t="shared" ca="1" si="258"/>
        <v>260.51773157024206</v>
      </c>
      <c r="AE524" s="324">
        <f t="shared" ca="1" si="237"/>
        <v>1578.4649840731915</v>
      </c>
      <c r="AG524" s="306">
        <f t="shared" ca="1" si="259"/>
        <v>-7.8300000409478168</v>
      </c>
      <c r="AH524" s="304">
        <f t="shared" ca="1" si="260"/>
        <v>-0.19528096780518825</v>
      </c>
    </row>
    <row r="525" spans="1:34" x14ac:dyDescent="0.2">
      <c r="A525" s="347">
        <f t="shared" ca="1" si="238"/>
        <v>0.1</v>
      </c>
      <c r="B525" s="304">
        <f t="shared" ca="1" si="239"/>
        <v>16.099999999999916</v>
      </c>
      <c r="D525" s="306">
        <f t="shared" ca="1" si="240"/>
        <v>-0.11837258399400599</v>
      </c>
      <c r="E525" s="307">
        <f t="shared" ca="1" si="241"/>
        <v>-9.9486563912534027</v>
      </c>
      <c r="F525" s="304">
        <f t="shared" ca="1" si="242"/>
        <v>9.9493605854782743</v>
      </c>
      <c r="G525" s="306">
        <f t="shared" ca="1" si="243"/>
        <v>14.410120790854153</v>
      </c>
      <c r="H525" s="307">
        <f t="shared" ca="1" si="244"/>
        <v>15.898375941363643</v>
      </c>
      <c r="I525" s="304">
        <f t="shared" ca="1" si="245"/>
        <v>21.457165208385227</v>
      </c>
      <c r="J525" s="306">
        <f t="shared" ca="1" si="246"/>
        <v>261.95933551224743</v>
      </c>
      <c r="K525" s="307">
        <f t="shared" ca="1" si="247"/>
        <v>1580.1045649492842</v>
      </c>
      <c r="L525" s="304">
        <f t="shared" ca="1" si="232"/>
        <v>1601.6719794126341</v>
      </c>
      <c r="M525" s="306">
        <f t="shared" ca="1" si="248"/>
        <v>0.83446231695116424</v>
      </c>
      <c r="N525" s="304">
        <f t="shared" ca="1" si="249"/>
        <v>47.811168924009721</v>
      </c>
      <c r="P525" s="310">
        <f t="shared" ca="1" si="250"/>
        <v>23</v>
      </c>
      <c r="Q525" s="304">
        <f t="shared" ca="1" si="251"/>
        <v>0</v>
      </c>
      <c r="R525" s="306">
        <f t="shared" ca="1" si="252"/>
        <v>0</v>
      </c>
      <c r="S525" s="307">
        <f t="shared" ca="1" si="253"/>
        <v>7.4819999999999904</v>
      </c>
      <c r="T525" s="304">
        <f t="shared" ca="1" si="233"/>
        <v>73.398419999999916</v>
      </c>
      <c r="U525" s="311">
        <f t="shared" ca="1" si="234"/>
        <v>0</v>
      </c>
      <c r="V525" s="306">
        <f t="shared" ca="1" si="235"/>
        <v>1.0456099431782415</v>
      </c>
      <c r="W525" s="304">
        <f t="shared" ca="1" si="236"/>
        <v>1.272709535959762</v>
      </c>
      <c r="Y525" s="314" t="str">
        <f t="shared" ca="1" si="254"/>
        <v/>
      </c>
      <c r="Z525" s="315" t="str">
        <f t="shared" ca="1" si="255"/>
        <v/>
      </c>
      <c r="AA525" s="316" t="str">
        <f t="shared" ca="1" si="256"/>
        <v/>
      </c>
      <c r="AC525" s="310" t="e">
        <f t="shared" ca="1" si="257"/>
        <v>#N/A</v>
      </c>
      <c r="AD525" s="323" t="e">
        <f t="shared" ca="1" si="258"/>
        <v>#N/A</v>
      </c>
      <c r="AE525" s="324">
        <f t="shared" ca="1" si="237"/>
        <v>1580.1045649492842</v>
      </c>
      <c r="AG525" s="306">
        <f t="shared" ca="1" si="259"/>
        <v>-7.6432538769376963</v>
      </c>
      <c r="AH525" s="304">
        <f t="shared" ca="1" si="260"/>
        <v>-0.18231199487920371</v>
      </c>
    </row>
    <row r="526" spans="1:34" x14ac:dyDescent="0.2">
      <c r="A526" s="347">
        <f t="shared" ca="1" si="238"/>
        <v>0.1</v>
      </c>
      <c r="B526" s="304">
        <f t="shared" ca="1" si="239"/>
        <v>16.199999999999918</v>
      </c>
      <c r="D526" s="306">
        <f t="shared" ca="1" si="240"/>
        <v>-0.11423702130151847</v>
      </c>
      <c r="E526" s="307">
        <f t="shared" ca="1" si="241"/>
        <v>-9.9360352454662149</v>
      </c>
      <c r="F526" s="304">
        <f t="shared" ca="1" si="242"/>
        <v>9.9366919292178277</v>
      </c>
      <c r="G526" s="306">
        <f t="shared" ca="1" si="243"/>
        <v>14.398697088724001</v>
      </c>
      <c r="H526" s="307">
        <f t="shared" ca="1" si="244"/>
        <v>14.904772416817021</v>
      </c>
      <c r="I526" s="304">
        <f t="shared" ca="1" si="245"/>
        <v>20.723771824885993</v>
      </c>
      <c r="J526" s="306">
        <f t="shared" ca="1" si="246"/>
        <v>263.39977640622635</v>
      </c>
      <c r="K526" s="307">
        <f t="shared" ca="1" si="247"/>
        <v>1581.6447223671933</v>
      </c>
      <c r="L526" s="304">
        <f t="shared" ca="1" si="232"/>
        <v>1603.4274133875988</v>
      </c>
      <c r="M526" s="306">
        <f t="shared" ca="1" si="248"/>
        <v>0.80266659720222577</v>
      </c>
      <c r="N526" s="304">
        <f t="shared" ca="1" si="249"/>
        <v>45.98940837581479</v>
      </c>
      <c r="P526" s="310">
        <f t="shared" ca="1" si="250"/>
        <v>23</v>
      </c>
      <c r="Q526" s="304">
        <f t="shared" ca="1" si="251"/>
        <v>0</v>
      </c>
      <c r="R526" s="306">
        <f t="shared" ca="1" si="252"/>
        <v>0</v>
      </c>
      <c r="S526" s="307">
        <f t="shared" ca="1" si="253"/>
        <v>7.4819999999999904</v>
      </c>
      <c r="T526" s="304">
        <f t="shared" ca="1" si="233"/>
        <v>73.398419999999916</v>
      </c>
      <c r="U526" s="311">
        <f t="shared" ca="1" si="234"/>
        <v>0</v>
      </c>
      <c r="V526" s="306">
        <f t="shared" ca="1" si="235"/>
        <v>1.0454479028522072</v>
      </c>
      <c r="W526" s="304">
        <f t="shared" ca="1" si="236"/>
        <v>1.1870114362249531</v>
      </c>
      <c r="Y526" s="314" t="str">
        <f t="shared" ca="1" si="254"/>
        <v/>
      </c>
      <c r="Z526" s="315" t="str">
        <f t="shared" ca="1" si="255"/>
        <v/>
      </c>
      <c r="AA526" s="316" t="str">
        <f t="shared" ca="1" si="256"/>
        <v/>
      </c>
      <c r="AC526" s="310" t="e">
        <f t="shared" ca="1" si="257"/>
        <v>#N/A</v>
      </c>
      <c r="AD526" s="323" t="e">
        <f t="shared" ca="1" si="258"/>
        <v>#N/A</v>
      </c>
      <c r="AE526" s="324">
        <f t="shared" ca="1" si="237"/>
        <v>1581.6447223671933</v>
      </c>
      <c r="AG526" s="306">
        <f t="shared" ca="1" si="259"/>
        <v>-7.4386803393967682</v>
      </c>
      <c r="AH526" s="304">
        <f t="shared" ca="1" si="260"/>
        <v>-0.17010285163856773</v>
      </c>
    </row>
    <row r="527" spans="1:34" x14ac:dyDescent="0.2">
      <c r="A527" s="347">
        <f t="shared" ca="1" si="238"/>
        <v>0.1</v>
      </c>
      <c r="B527" s="304">
        <f t="shared" ca="1" si="239"/>
        <v>16.299999999999919</v>
      </c>
      <c r="D527" s="306">
        <f t="shared" ca="1" si="240"/>
        <v>-0.11022791502562222</v>
      </c>
      <c r="E527" s="307">
        <f t="shared" ca="1" si="241"/>
        <v>-9.9241021286379976</v>
      </c>
      <c r="F527" s="304">
        <f t="shared" ca="1" si="242"/>
        <v>9.9247142655538507</v>
      </c>
      <c r="G527" s="306">
        <f t="shared" ca="1" si="243"/>
        <v>14.387674297221439</v>
      </c>
      <c r="H527" s="307">
        <f t="shared" ca="1" si="244"/>
        <v>13.912362203953222</v>
      </c>
      <c r="I527" s="304">
        <f t="shared" ca="1" si="245"/>
        <v>20.013969965424465</v>
      </c>
      <c r="J527" s="306">
        <f t="shared" ca="1" si="246"/>
        <v>264.83909497552361</v>
      </c>
      <c r="K527" s="307">
        <f t="shared" ca="1" si="247"/>
        <v>1583.0855790982318</v>
      </c>
      <c r="L527" s="304">
        <f t="shared" ca="1" si="232"/>
        <v>1605.0855731007734</v>
      </c>
      <c r="M527" s="306">
        <f t="shared" ca="1" si="248"/>
        <v>0.76860428372799372</v>
      </c>
      <c r="N527" s="304">
        <f t="shared" ca="1" si="249"/>
        <v>44.037781573289692</v>
      </c>
      <c r="P527" s="310">
        <f t="shared" ca="1" si="250"/>
        <v>23</v>
      </c>
      <c r="Q527" s="304">
        <f t="shared" ca="1" si="251"/>
        <v>0</v>
      </c>
      <c r="R527" s="306">
        <f t="shared" ca="1" si="252"/>
        <v>0</v>
      </c>
      <c r="S527" s="307">
        <f t="shared" ca="1" si="253"/>
        <v>7.4819999999999904</v>
      </c>
      <c r="T527" s="304">
        <f t="shared" ca="1" si="233"/>
        <v>73.398419999999916</v>
      </c>
      <c r="U527" s="311">
        <f t="shared" ca="1" si="234"/>
        <v>0</v>
      </c>
      <c r="V527" s="306">
        <f t="shared" ca="1" si="235"/>
        <v>1.0452963309126295</v>
      </c>
      <c r="W527" s="304">
        <f t="shared" ca="1" si="236"/>
        <v>1.1069316799465938</v>
      </c>
      <c r="Y527" s="314" t="str">
        <f t="shared" ca="1" si="254"/>
        <v/>
      </c>
      <c r="Z527" s="315" t="str">
        <f t="shared" ca="1" si="255"/>
        <v/>
      </c>
      <c r="AA527" s="316" t="str">
        <f t="shared" ca="1" si="256"/>
        <v/>
      </c>
      <c r="AC527" s="310" t="e">
        <f t="shared" ca="1" si="257"/>
        <v>#N/A</v>
      </c>
      <c r="AD527" s="323" t="e">
        <f t="shared" ca="1" si="258"/>
        <v>#N/A</v>
      </c>
      <c r="AE527" s="324">
        <f t="shared" ca="1" si="237"/>
        <v>1583.0855790982318</v>
      </c>
      <c r="AG527" s="306">
        <f t="shared" ca="1" si="259"/>
        <v>-7.2141125317855455</v>
      </c>
      <c r="AH527" s="304">
        <f t="shared" ca="1" si="260"/>
        <v>-0.15864894897419868</v>
      </c>
    </row>
    <row r="528" spans="1:34" x14ac:dyDescent="0.2">
      <c r="A528" s="347">
        <f t="shared" ca="1" si="238"/>
        <v>0.1</v>
      </c>
      <c r="B528" s="304">
        <f t="shared" ca="1" si="239"/>
        <v>16.39999999999992</v>
      </c>
      <c r="D528" s="306">
        <f t="shared" ca="1" si="240"/>
        <v>-0.10635562577757396</v>
      </c>
      <c r="E528" s="307">
        <f t="shared" ca="1" si="241"/>
        <v>-9.9128420547809775</v>
      </c>
      <c r="F528" s="304">
        <f t="shared" ca="1" si="242"/>
        <v>9.9134125871048511</v>
      </c>
      <c r="G528" s="306">
        <f t="shared" ca="1" si="243"/>
        <v>14.377038734643682</v>
      </c>
      <c r="H528" s="307">
        <f t="shared" ca="1" si="244"/>
        <v>12.921077998475125</v>
      </c>
      <c r="I528" s="304">
        <f t="shared" ca="1" si="245"/>
        <v>19.330118970666547</v>
      </c>
      <c r="J528" s="306">
        <f t="shared" ca="1" si="246"/>
        <v>266.27733062711684</v>
      </c>
      <c r="K528" s="307">
        <f t="shared" ca="1" si="247"/>
        <v>1584.4272511083532</v>
      </c>
      <c r="L528" s="304">
        <f t="shared" ca="1" si="232"/>
        <v>1606.6466104469505</v>
      </c>
      <c r="M528" s="306">
        <f t="shared" ca="1" si="248"/>
        <v>0.73211307712167606</v>
      </c>
      <c r="N528" s="304">
        <f t="shared" ca="1" si="249"/>
        <v>41.946989445407787</v>
      </c>
      <c r="P528" s="310">
        <f t="shared" ca="1" si="250"/>
        <v>23</v>
      </c>
      <c r="Q528" s="304">
        <f t="shared" ca="1" si="251"/>
        <v>0</v>
      </c>
      <c r="R528" s="306">
        <f t="shared" ca="1" si="252"/>
        <v>0</v>
      </c>
      <c r="S528" s="307">
        <f t="shared" ca="1" si="253"/>
        <v>7.4819999999999904</v>
      </c>
      <c r="T528" s="304">
        <f t="shared" ca="1" si="233"/>
        <v>73.398419999999916</v>
      </c>
      <c r="U528" s="311">
        <f t="shared" ca="1" si="234"/>
        <v>0</v>
      </c>
      <c r="V528" s="306">
        <f t="shared" ca="1" si="235"/>
        <v>1.0451552109743318</v>
      </c>
      <c r="W528" s="304">
        <f t="shared" ca="1" si="236"/>
        <v>1.0324398231044642</v>
      </c>
      <c r="Y528" s="314" t="str">
        <f t="shared" ca="1" si="254"/>
        <v/>
      </c>
      <c r="Z528" s="315" t="str">
        <f t="shared" ca="1" si="255"/>
        <v/>
      </c>
      <c r="AA528" s="316" t="str">
        <f t="shared" ca="1" si="256"/>
        <v/>
      </c>
      <c r="AC528" s="310" t="e">
        <f t="shared" ca="1" si="257"/>
        <v>#N/A</v>
      </c>
      <c r="AD528" s="323" t="e">
        <f t="shared" ca="1" si="258"/>
        <v>#N/A</v>
      </c>
      <c r="AE528" s="324">
        <f t="shared" ca="1" si="237"/>
        <v>1584.4272511083532</v>
      </c>
      <c r="AG528" s="306">
        <f t="shared" ca="1" si="259"/>
        <v>-6.9671963873710379</v>
      </c>
      <c r="AH528" s="304">
        <f t="shared" ca="1" si="260"/>
        <v>-0.1479459609658641</v>
      </c>
    </row>
    <row r="529" spans="1:34" x14ac:dyDescent="0.2">
      <c r="A529" s="347">
        <f t="shared" ca="1" si="238"/>
        <v>0.1</v>
      </c>
      <c r="B529" s="304">
        <f t="shared" ca="1" si="239"/>
        <v>16.499999999999922</v>
      </c>
      <c r="D529" s="306">
        <f t="shared" ca="1" si="240"/>
        <v>-0.10263180328383474</v>
      </c>
      <c r="E529" s="307">
        <f t="shared" ca="1" si="241"/>
        <v>-9.9022382946746266</v>
      </c>
      <c r="F529" s="304">
        <f t="shared" ca="1" si="242"/>
        <v>9.9027701443366816</v>
      </c>
      <c r="G529" s="306">
        <f t="shared" ca="1" si="243"/>
        <v>14.366775554315298</v>
      </c>
      <c r="H529" s="307">
        <f t="shared" ca="1" si="244"/>
        <v>11.930854169007663</v>
      </c>
      <c r="I529" s="304">
        <f t="shared" ca="1" si="245"/>
        <v>18.674836573051962</v>
      </c>
      <c r="J529" s="306">
        <f t="shared" ca="1" si="246"/>
        <v>267.71452134156476</v>
      </c>
      <c r="K529" s="307">
        <f t="shared" ca="1" si="247"/>
        <v>1585.6698477167274</v>
      </c>
      <c r="L529" s="304">
        <f t="shared" ca="1" si="232"/>
        <v>1608.1106712210862</v>
      </c>
      <c r="M529" s="306">
        <f t="shared" ca="1" si="248"/>
        <v>0.69303279715466559</v>
      </c>
      <c r="N529" s="304">
        <f t="shared" ca="1" si="249"/>
        <v>39.707854341108423</v>
      </c>
      <c r="P529" s="310">
        <f t="shared" ca="1" si="250"/>
        <v>23</v>
      </c>
      <c r="Q529" s="304">
        <f t="shared" ca="1" si="251"/>
        <v>0</v>
      </c>
      <c r="R529" s="306">
        <f t="shared" ca="1" si="252"/>
        <v>0</v>
      </c>
      <c r="S529" s="307">
        <f t="shared" ca="1" si="253"/>
        <v>7.4819999999999904</v>
      </c>
      <c r="T529" s="304">
        <f t="shared" ca="1" si="233"/>
        <v>73.398419999999916</v>
      </c>
      <c r="U529" s="311">
        <f t="shared" ca="1" si="234"/>
        <v>0</v>
      </c>
      <c r="V529" s="306">
        <f t="shared" ca="1" si="235"/>
        <v>1.0450245276466641</v>
      </c>
      <c r="W529" s="304">
        <f t="shared" ca="1" si="236"/>
        <v>0.96350729509240396</v>
      </c>
      <c r="Y529" s="314" t="str">
        <f t="shared" ca="1" si="254"/>
        <v/>
      </c>
      <c r="Z529" s="315" t="str">
        <f t="shared" ca="1" si="255"/>
        <v/>
      </c>
      <c r="AA529" s="316" t="str">
        <f t="shared" ca="1" si="256"/>
        <v/>
      </c>
      <c r="AC529" s="310" t="e">
        <f t="shared" ca="1" si="257"/>
        <v>#N/A</v>
      </c>
      <c r="AD529" s="323" t="e">
        <f t="shared" ca="1" si="258"/>
        <v>#N/A</v>
      </c>
      <c r="AE529" s="324">
        <f t="shared" ca="1" si="237"/>
        <v>1585.6698477167274</v>
      </c>
      <c r="AG529" s="306">
        <f t="shared" ca="1" si="259"/>
        <v>-6.6954132549621557</v>
      </c>
      <c r="AH529" s="304">
        <f t="shared" ca="1" si="260"/>
        <v>-0.13798981864534424</v>
      </c>
    </row>
    <row r="530" spans="1:34" x14ac:dyDescent="0.2">
      <c r="A530" s="347">
        <f t="shared" ca="1" si="238"/>
        <v>0.1</v>
      </c>
      <c r="B530" s="304">
        <f t="shared" ca="1" si="239"/>
        <v>16.599999999999923</v>
      </c>
      <c r="D530" s="306">
        <f t="shared" ca="1" si="240"/>
        <v>-9.9069461069829473E-2</v>
      </c>
      <c r="E530" s="307">
        <f t="shared" ca="1" si="241"/>
        <v>-9.892271995421499</v>
      </c>
      <c r="F530" s="304">
        <f t="shared" ca="1" si="242"/>
        <v>9.8927680650825476</v>
      </c>
      <c r="G530" s="306">
        <f t="shared" ca="1" si="243"/>
        <v>14.356868608208316</v>
      </c>
      <c r="H530" s="307">
        <f t="shared" ca="1" si="244"/>
        <v>10.941626969465513</v>
      </c>
      <c r="I530" s="304">
        <f t="shared" ca="1" si="245"/>
        <v>18.051007644236719</v>
      </c>
      <c r="J530" s="306">
        <f t="shared" ca="1" si="246"/>
        <v>269.15070354969095</v>
      </c>
      <c r="K530" s="307">
        <f t="shared" ca="1" si="247"/>
        <v>1586.8134717736511</v>
      </c>
      <c r="L530" s="304">
        <f t="shared" ca="1" si="232"/>
        <v>1609.4778952889169</v>
      </c>
      <c r="M530" s="306">
        <f t="shared" ca="1" si="248"/>
        <v>0.65121158083329356</v>
      </c>
      <c r="N530" s="304">
        <f t="shared" ca="1" si="249"/>
        <v>37.311675151790176</v>
      </c>
      <c r="P530" s="310">
        <f t="shared" ca="1" si="250"/>
        <v>23</v>
      </c>
      <c r="Q530" s="304">
        <f t="shared" ca="1" si="251"/>
        <v>0</v>
      </c>
      <c r="R530" s="306">
        <f t="shared" ca="1" si="252"/>
        <v>0</v>
      </c>
      <c r="S530" s="307">
        <f t="shared" ca="1" si="253"/>
        <v>7.4819999999999904</v>
      </c>
      <c r="T530" s="304">
        <f t="shared" ca="1" si="233"/>
        <v>73.398419999999916</v>
      </c>
      <c r="U530" s="311">
        <f t="shared" ca="1" si="234"/>
        <v>0</v>
      </c>
      <c r="V530" s="306">
        <f t="shared" ca="1" si="235"/>
        <v>1.0449042665130319</v>
      </c>
      <c r="W530" s="304">
        <f t="shared" ca="1" si="236"/>
        <v>0.90010734637191936</v>
      </c>
      <c r="Y530" s="314" t="str">
        <f t="shared" ca="1" si="254"/>
        <v/>
      </c>
      <c r="Z530" s="315" t="str">
        <f t="shared" ca="1" si="255"/>
        <v/>
      </c>
      <c r="AA530" s="316" t="str">
        <f t="shared" ca="1" si="256"/>
        <v/>
      </c>
      <c r="AC530" s="310" t="e">
        <f t="shared" ca="1" si="257"/>
        <v>#N/A</v>
      </c>
      <c r="AD530" s="323" t="e">
        <f t="shared" ca="1" si="258"/>
        <v>#N/A</v>
      </c>
      <c r="AE530" s="324">
        <f t="shared" ca="1" si="237"/>
        <v>1586.8134717736511</v>
      </c>
      <c r="AG530" s="306">
        <f t="shared" ca="1" si="259"/>
        <v>-6.3961236191685096</v>
      </c>
      <c r="AH530" s="304">
        <f t="shared" ca="1" si="260"/>
        <v>-0.12877670343389538</v>
      </c>
    </row>
    <row r="531" spans="1:34" x14ac:dyDescent="0.2">
      <c r="A531" s="347">
        <f t="shared" ca="1" si="238"/>
        <v>0.1</v>
      </c>
      <c r="B531" s="304">
        <f t="shared" ca="1" si="239"/>
        <v>16.699999999999925</v>
      </c>
      <c r="D531" s="306">
        <f t="shared" ca="1" si="240"/>
        <v>-9.5683020836496852E-2</v>
      </c>
      <c r="E531" s="307">
        <f t="shared" ca="1" si="241"/>
        <v>-9.8829217456727285</v>
      </c>
      <c r="F531" s="304">
        <f t="shared" ca="1" si="242"/>
        <v>9.8833849197310588</v>
      </c>
      <c r="G531" s="306">
        <f t="shared" ca="1" si="243"/>
        <v>14.347300306124666</v>
      </c>
      <c r="H531" s="307">
        <f t="shared" ca="1" si="244"/>
        <v>9.9533347948982414</v>
      </c>
      <c r="I531" s="304">
        <f t="shared" ca="1" si="245"/>
        <v>17.461783975684067</v>
      </c>
      <c r="J531" s="306">
        <f t="shared" ca="1" si="246"/>
        <v>270.58591199540757</v>
      </c>
      <c r="K531" s="307">
        <f t="shared" ca="1" si="247"/>
        <v>1587.8582198618694</v>
      </c>
      <c r="L531" s="304">
        <f t="shared" ca="1" si="232"/>
        <v>1610.7484167781422</v>
      </c>
      <c r="M531" s="306">
        <f t="shared" ca="1" si="248"/>
        <v>0.60651407476795627</v>
      </c>
      <c r="N531" s="304">
        <f t="shared" ca="1" si="249"/>
        <v>34.75069669948595</v>
      </c>
      <c r="P531" s="310">
        <f t="shared" ca="1" si="250"/>
        <v>23</v>
      </c>
      <c r="Q531" s="304">
        <f t="shared" ca="1" si="251"/>
        <v>0</v>
      </c>
      <c r="R531" s="306">
        <f t="shared" ca="1" si="252"/>
        <v>0</v>
      </c>
      <c r="S531" s="307">
        <f t="shared" ca="1" si="253"/>
        <v>7.4819999999999904</v>
      </c>
      <c r="T531" s="304">
        <f t="shared" ca="1" si="233"/>
        <v>73.398419999999916</v>
      </c>
      <c r="U531" s="311">
        <f t="shared" ca="1" si="234"/>
        <v>0</v>
      </c>
      <c r="V531" s="306">
        <f t="shared" ca="1" si="235"/>
        <v>1.0447944141080956</v>
      </c>
      <c r="W531" s="304">
        <f t="shared" ca="1" si="236"/>
        <v>0.842214991955899</v>
      </c>
      <c r="Y531" s="314" t="str">
        <f t="shared" ca="1" si="254"/>
        <v/>
      </c>
      <c r="Z531" s="315" t="str">
        <f t="shared" ca="1" si="255"/>
        <v/>
      </c>
      <c r="AA531" s="316" t="str">
        <f t="shared" ca="1" si="256"/>
        <v/>
      </c>
      <c r="AC531" s="310" t="e">
        <f t="shared" ca="1" si="257"/>
        <v>#N/A</v>
      </c>
      <c r="AD531" s="323" t="e">
        <f t="shared" ca="1" si="258"/>
        <v>#N/A</v>
      </c>
      <c r="AE531" s="324">
        <f t="shared" ca="1" si="237"/>
        <v>1587.8582198618694</v>
      </c>
      <c r="AG531" s="306">
        <f t="shared" ca="1" si="259"/>
        <v>-6.0666392605910682</v>
      </c>
      <c r="AH531" s="304">
        <f t="shared" ca="1" si="260"/>
        <v>-0.12030304014593966</v>
      </c>
    </row>
    <row r="532" spans="1:34" x14ac:dyDescent="0.2">
      <c r="A532" s="347">
        <f t="shared" ca="1" si="238"/>
        <v>0.1</v>
      </c>
      <c r="B532" s="304">
        <f t="shared" ca="1" si="239"/>
        <v>16.799999999999926</v>
      </c>
      <c r="D532" s="306">
        <f t="shared" ca="1" si="240"/>
        <v>-9.2488309515510084E-2</v>
      </c>
      <c r="E532" s="307">
        <f t="shared" ca="1" si="241"/>
        <v>-9.8741630891930985</v>
      </c>
      <c r="F532" s="304">
        <f t="shared" ca="1" si="242"/>
        <v>9.8745962347521044</v>
      </c>
      <c r="G532" s="306">
        <f t="shared" ca="1" si="243"/>
        <v>14.338051475173115</v>
      </c>
      <c r="H532" s="307">
        <f t="shared" ca="1" si="244"/>
        <v>8.965918485978932</v>
      </c>
      <c r="I532" s="304">
        <f t="shared" ca="1" si="245"/>
        <v>16.910571084441017</v>
      </c>
      <c r="J532" s="306">
        <f t="shared" ca="1" si="246"/>
        <v>272.02017958447249</v>
      </c>
      <c r="K532" s="307">
        <f t="shared" ca="1" si="247"/>
        <v>1588.8041825259133</v>
      </c>
      <c r="L532" s="304">
        <f t="shared" ca="1" si="232"/>
        <v>1611.9223642945726</v>
      </c>
      <c r="M532" s="306">
        <f t="shared" ca="1" si="248"/>
        <v>0.5588318081683763</v>
      </c>
      <c r="N532" s="304">
        <f t="shared" ca="1" si="249"/>
        <v>32.018704065712406</v>
      </c>
      <c r="P532" s="310">
        <f t="shared" ca="1" si="250"/>
        <v>23</v>
      </c>
      <c r="Q532" s="304">
        <f t="shared" ca="1" si="251"/>
        <v>0</v>
      </c>
      <c r="R532" s="306">
        <f t="shared" ca="1" si="252"/>
        <v>0</v>
      </c>
      <c r="S532" s="307">
        <f t="shared" ca="1" si="253"/>
        <v>7.4819999999999904</v>
      </c>
      <c r="T532" s="304">
        <f t="shared" ca="1" si="233"/>
        <v>73.398419999999916</v>
      </c>
      <c r="U532" s="311">
        <f t="shared" ca="1" si="234"/>
        <v>0</v>
      </c>
      <c r="V532" s="306">
        <f t="shared" ca="1" si="235"/>
        <v>1.0446949578921489</v>
      </c>
      <c r="W532" s="304">
        <f t="shared" ca="1" si="236"/>
        <v>0.78980694968385834</v>
      </c>
      <c r="Y532" s="314" t="str">
        <f t="shared" ca="1" si="254"/>
        <v/>
      </c>
      <c r="Z532" s="315" t="str">
        <f t="shared" ca="1" si="255"/>
        <v/>
      </c>
      <c r="AA532" s="316" t="str">
        <f t="shared" ca="1" si="256"/>
        <v/>
      </c>
      <c r="AC532" s="310" t="e">
        <f t="shared" ca="1" si="257"/>
        <v>#N/A</v>
      </c>
      <c r="AD532" s="323" t="e">
        <f t="shared" ca="1" si="258"/>
        <v>#N/A</v>
      </c>
      <c r="AE532" s="324">
        <f t="shared" ca="1" si="237"/>
        <v>1588.8041825259133</v>
      </c>
      <c r="AG532" s="306">
        <f t="shared" ca="1" si="259"/>
        <v>-5.7043317416076471</v>
      </c>
      <c r="AH532" s="304">
        <f t="shared" ca="1" si="260"/>
        <v>-0.11256548943543171</v>
      </c>
    </row>
    <row r="533" spans="1:34" x14ac:dyDescent="0.2">
      <c r="A533" s="347">
        <f t="shared" ca="1" si="238"/>
        <v>0.1</v>
      </c>
      <c r="B533" s="304">
        <f t="shared" ca="1" si="239"/>
        <v>16.899999999999928</v>
      </c>
      <c r="D533" s="306">
        <f t="shared" ca="1" si="240"/>
        <v>-8.9502487965771302E-2</v>
      </c>
      <c r="E533" s="307">
        <f t="shared" ca="1" si="241"/>
        <v>-9.8659679962638531</v>
      </c>
      <c r="F533" s="304">
        <f t="shared" ca="1" si="242"/>
        <v>9.8663739640586634</v>
      </c>
      <c r="G533" s="306">
        <f t="shared" ca="1" si="243"/>
        <v>14.329101226376538</v>
      </c>
      <c r="H533" s="307">
        <f t="shared" ca="1" si="244"/>
        <v>7.9793216863525469</v>
      </c>
      <c r="I533" s="304">
        <f t="shared" ca="1" si="245"/>
        <v>16.400997424853212</v>
      </c>
      <c r="J533" s="306">
        <f t="shared" ca="1" si="246"/>
        <v>273.45353721954996</v>
      </c>
      <c r="K533" s="307">
        <f t="shared" ca="1" si="247"/>
        <v>1589.6514445345299</v>
      </c>
      <c r="L533" s="304">
        <f t="shared" ca="1" si="232"/>
        <v>1612.9998611681906</v>
      </c>
      <c r="M533" s="306">
        <f t="shared" ca="1" si="248"/>
        <v>0.5080957237805066</v>
      </c>
      <c r="N533" s="304">
        <f t="shared" ca="1" si="249"/>
        <v>29.111740561267887</v>
      </c>
      <c r="P533" s="310">
        <f t="shared" ca="1" si="250"/>
        <v>23</v>
      </c>
      <c r="Q533" s="304">
        <f t="shared" ca="1" si="251"/>
        <v>0</v>
      </c>
      <c r="R533" s="306">
        <f t="shared" ca="1" si="252"/>
        <v>0</v>
      </c>
      <c r="S533" s="307">
        <f t="shared" ca="1" si="253"/>
        <v>7.4819999999999904</v>
      </c>
      <c r="T533" s="304">
        <f t="shared" ca="1" si="233"/>
        <v>73.398419999999916</v>
      </c>
      <c r="U533" s="311">
        <f t="shared" ca="1" si="234"/>
        <v>0</v>
      </c>
      <c r="V533" s="306">
        <f t="shared" ca="1" si="235"/>
        <v>1.0446058862221448</v>
      </c>
      <c r="W533" s="304">
        <f t="shared" ca="1" si="236"/>
        <v>0.74286157215023718</v>
      </c>
      <c r="Y533" s="314" t="str">
        <f t="shared" ca="1" si="254"/>
        <v/>
      </c>
      <c r="Z533" s="315" t="str">
        <f t="shared" ca="1" si="255"/>
        <v/>
      </c>
      <c r="AA533" s="316" t="str">
        <f t="shared" ca="1" si="256"/>
        <v/>
      </c>
      <c r="AC533" s="310" t="e">
        <f t="shared" ca="1" si="257"/>
        <v>#N/A</v>
      </c>
      <c r="AD533" s="323" t="e">
        <f t="shared" ca="1" si="258"/>
        <v>#N/A</v>
      </c>
      <c r="AE533" s="324">
        <f t="shared" ca="1" si="237"/>
        <v>1589.6514445345299</v>
      </c>
      <c r="AG533" s="306">
        <f t="shared" ca="1" si="259"/>
        <v>-5.3067844764838279</v>
      </c>
      <c r="AH533" s="304">
        <f t="shared" ca="1" si="260"/>
        <v>-0.10556093954609187</v>
      </c>
    </row>
    <row r="534" spans="1:34" x14ac:dyDescent="0.2">
      <c r="A534" s="347">
        <f t="shared" ca="1" si="238"/>
        <v>0.1</v>
      </c>
      <c r="B534" s="304">
        <f t="shared" ca="1" si="239"/>
        <v>16.999999999999929</v>
      </c>
      <c r="D534" s="306">
        <f t="shared" ca="1" si="240"/>
        <v>-8.6743887102042394E-2</v>
      </c>
      <c r="E534" s="307">
        <f t="shared" ca="1" si="241"/>
        <v>-9.8583043122228595</v>
      </c>
      <c r="F534" s="304">
        <f t="shared" ca="1" si="242"/>
        <v>9.8586859375041165</v>
      </c>
      <c r="G534" s="306">
        <f t="shared" ca="1" si="243"/>
        <v>14.320426837666334</v>
      </c>
      <c r="H534" s="307">
        <f t="shared" ca="1" si="244"/>
        <v>6.9934912551302606</v>
      </c>
      <c r="I534" s="304">
        <f t="shared" ca="1" si="245"/>
        <v>15.936861194995005</v>
      </c>
      <c r="J534" s="306">
        <f t="shared" ca="1" si="246"/>
        <v>274.8860136227521</v>
      </c>
      <c r="K534" s="307">
        <f t="shared" ca="1" si="247"/>
        <v>1590.400085181604</v>
      </c>
      <c r="L534" s="304">
        <f t="shared" ca="1" si="232"/>
        <v>1613.9810257345225</v>
      </c>
      <c r="M534" s="306">
        <f t="shared" ca="1" si="248"/>
        <v>0.45429049590207737</v>
      </c>
      <c r="N534" s="304">
        <f t="shared" ca="1" si="249"/>
        <v>26.028928088094254</v>
      </c>
      <c r="P534" s="310">
        <f t="shared" ca="1" si="250"/>
        <v>23</v>
      </c>
      <c r="Q534" s="304">
        <f t="shared" ca="1" si="251"/>
        <v>0</v>
      </c>
      <c r="R534" s="306">
        <f t="shared" ca="1" si="252"/>
        <v>0</v>
      </c>
      <c r="S534" s="307">
        <f t="shared" ca="1" si="253"/>
        <v>7.4819999999999904</v>
      </c>
      <c r="T534" s="304">
        <f t="shared" ca="1" si="233"/>
        <v>73.398419999999916</v>
      </c>
      <c r="U534" s="311">
        <f t="shared" ca="1" si="234"/>
        <v>0</v>
      </c>
      <c r="V534" s="306">
        <f t="shared" ca="1" si="235"/>
        <v>1.0445271883187914</v>
      </c>
      <c r="W534" s="304">
        <f t="shared" ca="1" si="236"/>
        <v>0.70135877108036826</v>
      </c>
      <c r="Y534" s="314" t="str">
        <f t="shared" ca="1" si="254"/>
        <v/>
      </c>
      <c r="Z534" s="315" t="str">
        <f t="shared" ca="1" si="255"/>
        <v>Para</v>
      </c>
      <c r="AA534" s="316" t="str">
        <f t="shared" ca="1" si="256"/>
        <v/>
      </c>
      <c r="AC534" s="310">
        <f t="shared" ca="1" si="257"/>
        <v>16.999999999999929</v>
      </c>
      <c r="AD534" s="323">
        <f t="shared" ca="1" si="258"/>
        <v>274.8860136227521</v>
      </c>
      <c r="AE534" s="324">
        <f t="shared" ca="1" si="237"/>
        <v>1590.400085181604</v>
      </c>
      <c r="AG534" s="306">
        <f t="shared" ca="1" si="259"/>
        <v>-4.8719929195984486</v>
      </c>
      <c r="AH534" s="304">
        <f t="shared" ca="1" si="260"/>
        <v>-9.9286497213343775E-2</v>
      </c>
    </row>
    <row r="535" spans="1:34" x14ac:dyDescent="0.2">
      <c r="A535" s="347">
        <f t="shared" ca="1" si="238"/>
        <v>0.1</v>
      </c>
      <c r="B535" s="304">
        <f t="shared" ca="1" si="239"/>
        <v>17.09999999999993</v>
      </c>
      <c r="D535" s="306">
        <f t="shared" ca="1" si="240"/>
        <v>-8.4231726293477943E-2</v>
      </c>
      <c r="E535" s="307">
        <f t="shared" ca="1" si="241"/>
        <v>-9.8511352153057725</v>
      </c>
      <c r="F535" s="304">
        <f t="shared" ca="1" si="242"/>
        <v>9.8514953186788805</v>
      </c>
      <c r="G535" s="306">
        <f t="shared" ca="1" si="243"/>
        <v>14.312003665036986</v>
      </c>
      <c r="H535" s="307">
        <f t="shared" ca="1" si="244"/>
        <v>6.0083777335996835</v>
      </c>
      <c r="I535" s="304">
        <f t="shared" ca="1" si="245"/>
        <v>15.522050505575885</v>
      </c>
      <c r="J535" s="306">
        <f t="shared" ca="1" si="246"/>
        <v>276.31763514788724</v>
      </c>
      <c r="K535" s="307">
        <f t="shared" ca="1" si="247"/>
        <v>1591.0501786310406</v>
      </c>
      <c r="L535" s="304">
        <f t="shared" ca="1" si="232"/>
        <v>1614.865971656963</v>
      </c>
      <c r="M535" s="306">
        <f t="shared" ca="1" si="248"/>
        <v>0.39746976621470653</v>
      </c>
      <c r="N535" s="304">
        <f t="shared" ca="1" si="249"/>
        <v>22.773340088154203</v>
      </c>
      <c r="P535" s="310">
        <f t="shared" ca="1" si="250"/>
        <v>23</v>
      </c>
      <c r="Q535" s="304">
        <f t="shared" ca="1" si="251"/>
        <v>0</v>
      </c>
      <c r="R535" s="306">
        <f t="shared" ca="1" si="252"/>
        <v>0</v>
      </c>
      <c r="S535" s="307">
        <f t="shared" ca="1" si="253"/>
        <v>7.4819999999999904</v>
      </c>
      <c r="T535" s="304">
        <f t="shared" ca="1" si="233"/>
        <v>73.398419999999916</v>
      </c>
      <c r="U535" s="311">
        <f t="shared" ca="1" si="234"/>
        <v>0</v>
      </c>
      <c r="V535" s="306">
        <f t="shared" ca="1" si="235"/>
        <v>1.044458854229146</v>
      </c>
      <c r="W535" s="304">
        <f t="shared" ca="1" si="236"/>
        <v>0.66527993294013066</v>
      </c>
      <c r="Y535" s="314" t="str">
        <f t="shared" ca="1" si="254"/>
        <v/>
      </c>
      <c r="Z535" s="315" t="str">
        <f t="shared" ca="1" si="255"/>
        <v/>
      </c>
      <c r="AA535" s="316" t="str">
        <f t="shared" ca="1" si="256"/>
        <v/>
      </c>
      <c r="AC535" s="310" t="e">
        <f t="shared" ca="1" si="257"/>
        <v>#N/A</v>
      </c>
      <c r="AD535" s="323" t="e">
        <f t="shared" ca="1" si="258"/>
        <v>#N/A</v>
      </c>
      <c r="AE535" s="324" t="e">
        <f t="shared" ca="1" si="237"/>
        <v>#N/A</v>
      </c>
      <c r="AG535" s="306">
        <f t="shared" ca="1" si="259"/>
        <v>-4.398611583387436</v>
      </c>
      <c r="AH535" s="304">
        <f t="shared" ca="1" si="260"/>
        <v>-9.373947755685233E-2</v>
      </c>
    </row>
    <row r="536" spans="1:34" x14ac:dyDescent="0.2">
      <c r="A536" s="347">
        <f t="shared" ca="1" si="238"/>
        <v>0.1</v>
      </c>
      <c r="B536" s="304">
        <f t="shared" ca="1" si="239"/>
        <v>17.199999999999932</v>
      </c>
      <c r="D536" s="306">
        <f t="shared" ca="1" si="240"/>
        <v>-8.198569198071709E-2</v>
      </c>
      <c r="E536" s="307">
        <f t="shared" ca="1" si="241"/>
        <v>-9.8444187311364448</v>
      </c>
      <c r="F536" s="304">
        <f t="shared" ca="1" si="242"/>
        <v>9.8447601193548469</v>
      </c>
      <c r="G536" s="306">
        <f t="shared" ca="1" si="243"/>
        <v>14.303805095838914</v>
      </c>
      <c r="H536" s="307">
        <f t="shared" ca="1" si="244"/>
        <v>5.0239358604860387</v>
      </c>
      <c r="I536" s="304">
        <f t="shared" ca="1" si="245"/>
        <v>15.160434418248869</v>
      </c>
      <c r="J536" s="306">
        <f t="shared" ca="1" si="246"/>
        <v>277.74842558593105</v>
      </c>
      <c r="K536" s="307">
        <f t="shared" ca="1" si="247"/>
        <v>1591.6017943107449</v>
      </c>
      <c r="L536" s="304">
        <f t="shared" ca="1" si="232"/>
        <v>1615.6548082955858</v>
      </c>
      <c r="M536" s="306">
        <f t="shared" ca="1" si="248"/>
        <v>0.33777081426367472</v>
      </c>
      <c r="N536" s="304">
        <f t="shared" ca="1" si="249"/>
        <v>19.352842100005788</v>
      </c>
      <c r="P536" s="310">
        <f t="shared" ca="1" si="250"/>
        <v>23</v>
      </c>
      <c r="Q536" s="304">
        <f t="shared" ca="1" si="251"/>
        <v>0</v>
      </c>
      <c r="R536" s="306">
        <f t="shared" ca="1" si="252"/>
        <v>0</v>
      </c>
      <c r="S536" s="307">
        <f t="shared" ca="1" si="253"/>
        <v>7.4819999999999904</v>
      </c>
      <c r="T536" s="304">
        <f t="shared" ca="1" si="233"/>
        <v>73.398419999999916</v>
      </c>
      <c r="U536" s="311">
        <f t="shared" ca="1" si="234"/>
        <v>0</v>
      </c>
      <c r="V536" s="306">
        <f t="shared" ca="1" si="235"/>
        <v>1.0444008747841582</v>
      </c>
      <c r="W536" s="304">
        <f t="shared" ca="1" si="236"/>
        <v>0.63460782464613708</v>
      </c>
      <c r="Y536" s="314" t="str">
        <f t="shared" ca="1" si="254"/>
        <v/>
      </c>
      <c r="Z536" s="315" t="str">
        <f t="shared" ca="1" si="255"/>
        <v/>
      </c>
      <c r="AA536" s="316" t="str">
        <f t="shared" ca="1" si="256"/>
        <v/>
      </c>
      <c r="AC536" s="310" t="e">
        <f t="shared" ca="1" si="257"/>
        <v>#N/A</v>
      </c>
      <c r="AD536" s="323" t="e">
        <f t="shared" ca="1" si="258"/>
        <v>#N/A</v>
      </c>
      <c r="AE536" s="324" t="e">
        <f t="shared" ca="1" si="237"/>
        <v>#N/A</v>
      </c>
      <c r="AG536" s="306">
        <f t="shared" ca="1" si="259"/>
        <v>-3.886236925129916</v>
      </c>
      <c r="AH536" s="304">
        <f t="shared" ca="1" si="260"/>
        <v>-8.8917392801407577E-2</v>
      </c>
    </row>
    <row r="537" spans="1:34" x14ac:dyDescent="0.2">
      <c r="A537" s="347">
        <f t="shared" ca="1" si="238"/>
        <v>0.1</v>
      </c>
      <c r="B537" s="304">
        <f t="shared" ca="1" si="239"/>
        <v>17.299999999999933</v>
      </c>
      <c r="D537" s="306">
        <f t="shared" ca="1" si="240"/>
        <v>-8.0025363671453992E-2</v>
      </c>
      <c r="E537" s="307">
        <f t="shared" ca="1" si="241"/>
        <v>-9.8381073666485026</v>
      </c>
      <c r="F537" s="304">
        <f t="shared" ca="1" si="242"/>
        <v>9.83843283335991</v>
      </c>
      <c r="G537" s="306">
        <f t="shared" ca="1" si="243"/>
        <v>14.295802559471769</v>
      </c>
      <c r="H537" s="307">
        <f t="shared" ca="1" si="244"/>
        <v>4.0401251238211886</v>
      </c>
      <c r="I537" s="304">
        <f t="shared" ca="1" si="245"/>
        <v>14.855725557357699</v>
      </c>
      <c r="J537" s="306">
        <f t="shared" ca="1" si="246"/>
        <v>279.17840596869655</v>
      </c>
      <c r="K537" s="307">
        <f t="shared" ca="1" si="247"/>
        <v>1592.0549973599602</v>
      </c>
      <c r="L537" s="304">
        <f t="shared" ca="1" si="232"/>
        <v>1616.3476411273798</v>
      </c>
      <c r="M537" s="306">
        <f t="shared" ca="1" si="248"/>
        <v>0.27542655773022995</v>
      </c>
      <c r="N537" s="304">
        <f t="shared" ca="1" si="249"/>
        <v>15.780779323758495</v>
      </c>
      <c r="P537" s="310">
        <f t="shared" ca="1" si="250"/>
        <v>23</v>
      </c>
      <c r="Q537" s="304">
        <f t="shared" ca="1" si="251"/>
        <v>0</v>
      </c>
      <c r="R537" s="306">
        <f t="shared" ca="1" si="252"/>
        <v>0</v>
      </c>
      <c r="S537" s="307">
        <f t="shared" ca="1" si="253"/>
        <v>7.4819999999999904</v>
      </c>
      <c r="T537" s="304">
        <f t="shared" ca="1" si="233"/>
        <v>73.398419999999916</v>
      </c>
      <c r="U537" s="311">
        <f t="shared" ca="1" si="234"/>
        <v>0</v>
      </c>
      <c r="V537" s="306">
        <f t="shared" ca="1" si="235"/>
        <v>1.0443532415507086</v>
      </c>
      <c r="W537" s="304">
        <f t="shared" ca="1" si="236"/>
        <v>0.60932648844715565</v>
      </c>
      <c r="Y537" s="314" t="str">
        <f t="shared" ca="1" si="254"/>
        <v/>
      </c>
      <c r="Z537" s="315" t="str">
        <f t="shared" ca="1" si="255"/>
        <v/>
      </c>
      <c r="AA537" s="316" t="str">
        <f t="shared" ca="1" si="256"/>
        <v/>
      </c>
      <c r="AC537" s="310" t="e">
        <f t="shared" ca="1" si="257"/>
        <v>#N/A</v>
      </c>
      <c r="AD537" s="323" t="e">
        <f t="shared" ca="1" si="258"/>
        <v>#N/A</v>
      </c>
      <c r="AE537" s="324" t="e">
        <f t="shared" ca="1" si="237"/>
        <v>#N/A</v>
      </c>
      <c r="AG537" s="306">
        <f t="shared" ca="1" si="259"/>
        <v>-3.3357017489172081</v>
      </c>
      <c r="AH537" s="304">
        <f t="shared" ca="1" si="260"/>
        <v>-8.4817939674704343E-2</v>
      </c>
    </row>
    <row r="538" spans="1:34" x14ac:dyDescent="0.2">
      <c r="A538" s="347">
        <f t="shared" ca="1" si="238"/>
        <v>0.1</v>
      </c>
      <c r="B538" s="304">
        <f t="shared" ca="1" si="239"/>
        <v>17.399999999999935</v>
      </c>
      <c r="D538" s="306">
        <f t="shared" ca="1" si="240"/>
        <v>-7.8369491333419722E-2</v>
      </c>
      <c r="E538" s="307">
        <f t="shared" ca="1" si="241"/>
        <v>-9.8321479381489816</v>
      </c>
      <c r="F538" s="304">
        <f t="shared" ca="1" si="242"/>
        <v>9.8324602645939603</v>
      </c>
      <c r="G538" s="306">
        <f t="shared" ca="1" si="243"/>
        <v>14.287965610338427</v>
      </c>
      <c r="H538" s="307">
        <f t="shared" ca="1" si="244"/>
        <v>3.0569103300062905</v>
      </c>
      <c r="I538" s="304">
        <f t="shared" ca="1" si="245"/>
        <v>14.611319654566206</v>
      </c>
      <c r="J538" s="306">
        <f t="shared" ca="1" si="246"/>
        <v>280.60759437718707</v>
      </c>
      <c r="K538" s="307">
        <f t="shared" ca="1" si="247"/>
        <v>1592.4098491326515</v>
      </c>
      <c r="L538" s="304">
        <f t="shared" ca="1" si="232"/>
        <v>1616.9445722215794</v>
      </c>
      <c r="M538" s="306">
        <f t="shared" ca="1" si="248"/>
        <v>0.21077234141328849</v>
      </c>
      <c r="N538" s="304">
        <f t="shared" ca="1" si="249"/>
        <v>12.076365601071888</v>
      </c>
      <c r="P538" s="310">
        <f t="shared" ca="1" si="250"/>
        <v>23</v>
      </c>
      <c r="Q538" s="304">
        <f t="shared" ca="1" si="251"/>
        <v>0</v>
      </c>
      <c r="R538" s="306">
        <f t="shared" ca="1" si="252"/>
        <v>0</v>
      </c>
      <c r="S538" s="307">
        <f t="shared" ca="1" si="253"/>
        <v>7.4819999999999904</v>
      </c>
      <c r="T538" s="304">
        <f t="shared" ca="1" si="233"/>
        <v>73.398419999999916</v>
      </c>
      <c r="U538" s="311">
        <f t="shared" ca="1" si="234"/>
        <v>0</v>
      </c>
      <c r="V538" s="306">
        <f t="shared" ca="1" si="235"/>
        <v>1.0443159467778578</v>
      </c>
      <c r="W538" s="304">
        <f t="shared" ca="1" si="236"/>
        <v>0.58942112540365343</v>
      </c>
      <c r="Y538" s="314" t="str">
        <f t="shared" ca="1" si="254"/>
        <v/>
      </c>
      <c r="Z538" s="315" t="str">
        <f t="shared" ca="1" si="255"/>
        <v/>
      </c>
      <c r="AA538" s="316" t="str">
        <f t="shared" ca="1" si="256"/>
        <v/>
      </c>
      <c r="AC538" s="310" t="e">
        <f t="shared" ca="1" si="257"/>
        <v>#N/A</v>
      </c>
      <c r="AD538" s="323" t="e">
        <f t="shared" ca="1" si="258"/>
        <v>#N/A</v>
      </c>
      <c r="AE538" s="324" t="e">
        <f t="shared" ca="1" si="237"/>
        <v>#N/A</v>
      </c>
      <c r="AG538" s="306">
        <f t="shared" ca="1" si="259"/>
        <v>-2.7493414928227708</v>
      </c>
      <c r="AH538" s="304">
        <f t="shared" ca="1" si="260"/>
        <v>-8.1438985357812937E-2</v>
      </c>
    </row>
    <row r="539" spans="1:34" x14ac:dyDescent="0.2">
      <c r="A539" s="347">
        <f t="shared" ca="1" si="238"/>
        <v>0.1</v>
      </c>
      <c r="B539" s="304">
        <f t="shared" ca="1" si="239"/>
        <v>17.499999999999936</v>
      </c>
      <c r="D539" s="306">
        <f t="shared" ca="1" si="240"/>
        <v>-7.7035152686942471E-2</v>
      </c>
      <c r="E539" s="307">
        <f t="shared" ca="1" si="241"/>
        <v>-9.8264816713900789</v>
      </c>
      <c r="F539" s="304">
        <f t="shared" ca="1" si="242"/>
        <v>9.826783627052885</v>
      </c>
      <c r="G539" s="306">
        <f t="shared" ca="1" si="243"/>
        <v>14.280262095069732</v>
      </c>
      <c r="H539" s="307">
        <f t="shared" ca="1" si="244"/>
        <v>2.0742621628672824</v>
      </c>
      <c r="I539" s="304">
        <f t="shared" ca="1" si="245"/>
        <v>14.430122973287103</v>
      </c>
      <c r="J539" s="306">
        <f t="shared" ca="1" si="246"/>
        <v>282.03600576245748</v>
      </c>
      <c r="K539" s="307">
        <f t="shared" ca="1" si="247"/>
        <v>1592.6664077572952</v>
      </c>
      <c r="L539" s="304">
        <f t="shared" ca="1" si="232"/>
        <v>1617.4457007717349</v>
      </c>
      <c r="M539" s="306">
        <f t="shared" ca="1" si="248"/>
        <v>0.14424497472473008</v>
      </c>
      <c r="N539" s="304">
        <f t="shared" ca="1" si="249"/>
        <v>8.2646282676982672</v>
      </c>
      <c r="P539" s="310">
        <f t="shared" ca="1" si="250"/>
        <v>23</v>
      </c>
      <c r="Q539" s="304">
        <f t="shared" ca="1" si="251"/>
        <v>0</v>
      </c>
      <c r="R539" s="306">
        <f t="shared" ca="1" si="252"/>
        <v>0</v>
      </c>
      <c r="S539" s="307">
        <f t="shared" ca="1" si="253"/>
        <v>7.4819999999999904</v>
      </c>
      <c r="T539" s="304">
        <f t="shared" ca="1" si="233"/>
        <v>73.398419999999916</v>
      </c>
      <c r="U539" s="311">
        <f t="shared" ca="1" si="234"/>
        <v>0</v>
      </c>
      <c r="V539" s="306">
        <f t="shared" ca="1" si="235"/>
        <v>1.0442889833372526</v>
      </c>
      <c r="W539" s="304">
        <f t="shared" ca="1" si="236"/>
        <v>0.57487796741565966</v>
      </c>
      <c r="Y539" s="314" t="str">
        <f t="shared" ca="1" si="254"/>
        <v/>
      </c>
      <c r="Z539" s="315" t="str">
        <f t="shared" ca="1" si="255"/>
        <v/>
      </c>
      <c r="AA539" s="316" t="str">
        <f t="shared" ca="1" si="256"/>
        <v/>
      </c>
      <c r="AC539" s="310" t="e">
        <f t="shared" ca="1" si="257"/>
        <v>#N/A</v>
      </c>
      <c r="AD539" s="323" t="e">
        <f t="shared" ca="1" si="258"/>
        <v>#N/A</v>
      </c>
      <c r="AE539" s="324" t="e">
        <f t="shared" ca="1" si="237"/>
        <v>#N/A</v>
      </c>
      <c r="AG539" s="306">
        <f t="shared" ca="1" si="259"/>
        <v>-2.1311797755062187</v>
      </c>
      <c r="AH539" s="304">
        <f t="shared" ca="1" si="260"/>
        <v>-7.8778551911742073E-2</v>
      </c>
    </row>
    <row r="540" spans="1:34" x14ac:dyDescent="0.2">
      <c r="A540" s="347">
        <f t="shared" ca="1" si="238"/>
        <v>0.1</v>
      </c>
      <c r="B540" s="304">
        <f t="shared" ca="1" si="239"/>
        <v>17.599999999999937</v>
      </c>
      <c r="D540" s="306">
        <f t="shared" ca="1" si="240"/>
        <v>-7.6036848213275873E-2</v>
      </c>
      <c r="E540" s="307">
        <f t="shared" ca="1" si="241"/>
        <v>-9.8210446402301628</v>
      </c>
      <c r="F540" s="304">
        <f t="shared" ca="1" si="242"/>
        <v>9.8213389834421161</v>
      </c>
      <c r="G540" s="306">
        <f t="shared" ca="1" si="243"/>
        <v>14.272658410248404</v>
      </c>
      <c r="H540" s="307">
        <f t="shared" ca="1" si="244"/>
        <v>1.0921576988442661</v>
      </c>
      <c r="I540" s="304">
        <f t="shared" ca="1" si="245"/>
        <v>14.314383903430119</v>
      </c>
      <c r="J540" s="306">
        <f t="shared" ca="1" si="246"/>
        <v>283.46365178772339</v>
      </c>
      <c r="K540" s="307">
        <f t="shared" ca="1" si="247"/>
        <v>1592.8247287503809</v>
      </c>
      <c r="L540" s="304">
        <f t="shared" ca="1" si="232"/>
        <v>1617.8511236833742</v>
      </c>
      <c r="M540" s="306">
        <f t="shared" ca="1" si="248"/>
        <v>7.6372139696319133E-2</v>
      </c>
      <c r="N540" s="304">
        <f t="shared" ca="1" si="249"/>
        <v>4.3758012769826227</v>
      </c>
      <c r="P540" s="310">
        <f t="shared" ca="1" si="250"/>
        <v>23</v>
      </c>
      <c r="Q540" s="304">
        <f t="shared" ca="1" si="251"/>
        <v>0</v>
      </c>
      <c r="R540" s="306">
        <f t="shared" ca="1" si="252"/>
        <v>0</v>
      </c>
      <c r="S540" s="307">
        <f t="shared" ca="1" si="253"/>
        <v>7.4819999999999904</v>
      </c>
      <c r="T540" s="304">
        <f t="shared" ca="1" si="233"/>
        <v>73.398419999999916</v>
      </c>
      <c r="U540" s="311">
        <f t="shared" ca="1" si="234"/>
        <v>0</v>
      </c>
      <c r="V540" s="306">
        <f t="shared" ca="1" si="235"/>
        <v>1.0442723446579716</v>
      </c>
      <c r="W540" s="304">
        <f t="shared" ca="1" si="236"/>
        <v>0.56568413842782694</v>
      </c>
      <c r="Y540" s="314" t="str">
        <f t="shared" ca="1" si="254"/>
        <v/>
      </c>
      <c r="Z540" s="315" t="str">
        <f t="shared" ca="1" si="255"/>
        <v/>
      </c>
      <c r="AA540" s="316" t="str">
        <f t="shared" ca="1" si="256"/>
        <v/>
      </c>
      <c r="AC540" s="310" t="e">
        <f t="shared" ca="1" si="257"/>
        <v>#N/A</v>
      </c>
      <c r="AD540" s="323" t="e">
        <f t="shared" ca="1" si="258"/>
        <v>#N/A</v>
      </c>
      <c r="AE540" s="324" t="e">
        <f t="shared" ca="1" si="237"/>
        <v>#N/A</v>
      </c>
      <c r="AG540" s="306">
        <f t="shared" ca="1" si="259"/>
        <v>-1.48697606099061</v>
      </c>
      <c r="AH540" s="304">
        <f t="shared" ca="1" si="260"/>
        <v>-7.6834799173437635E-2</v>
      </c>
    </row>
    <row r="541" spans="1:34" x14ac:dyDescent="0.2">
      <c r="A541" s="347">
        <f t="shared" ca="1" si="238"/>
        <v>0.1</v>
      </c>
      <c r="B541" s="304">
        <f t="shared" ca="1" si="239"/>
        <v>17.699999999999939</v>
      </c>
      <c r="D541" s="306">
        <f t="shared" ca="1" si="240"/>
        <v>-7.5385619640420121E-2</v>
      </c>
      <c r="E541" s="307">
        <f t="shared" ca="1" si="241"/>
        <v>-9.8157685809122501</v>
      </c>
      <c r="F541" s="304">
        <f t="shared" ca="1" si="242"/>
        <v>9.8160580594081992</v>
      </c>
      <c r="G541" s="306">
        <f t="shared" ca="1" si="243"/>
        <v>14.265119848284362</v>
      </c>
      <c r="H541" s="307">
        <f t="shared" ca="1" si="244"/>
        <v>0.11058084075304098</v>
      </c>
      <c r="I541" s="304">
        <f t="shared" ca="1" si="245"/>
        <v>14.265548444005162</v>
      </c>
      <c r="J541" s="306">
        <f t="shared" ca="1" si="246"/>
        <v>284.89054070065004</v>
      </c>
      <c r="K541" s="307">
        <f t="shared" ca="1" si="247"/>
        <v>1592.8848656773607</v>
      </c>
      <c r="L541" s="304">
        <f t="shared" ca="1" si="232"/>
        <v>1618.1609362126785</v>
      </c>
      <c r="M541" s="306">
        <f t="shared" ca="1" si="248"/>
        <v>7.751678712862314E-3</v>
      </c>
      <c r="N541" s="304">
        <f t="shared" ca="1" si="249"/>
        <v>0.44413847438841292</v>
      </c>
      <c r="P541" s="310">
        <f t="shared" ca="1" si="250"/>
        <v>23</v>
      </c>
      <c r="Q541" s="304">
        <f t="shared" ca="1" si="251"/>
        <v>0</v>
      </c>
      <c r="R541" s="306">
        <f t="shared" ca="1" si="252"/>
        <v>0</v>
      </c>
      <c r="S541" s="307">
        <f t="shared" ca="1" si="253"/>
        <v>7.4819999999999904</v>
      </c>
      <c r="T541" s="304">
        <f t="shared" ca="1" si="233"/>
        <v>73.398419999999916</v>
      </c>
      <c r="U541" s="311">
        <f t="shared" ca="1" si="234"/>
        <v>0</v>
      </c>
      <c r="V541" s="306">
        <f t="shared" ca="1" si="235"/>
        <v>1.0442660246564459</v>
      </c>
      <c r="W541" s="304">
        <f t="shared" ca="1" si="236"/>
        <v>0.56182750622589117</v>
      </c>
      <c r="Y541" s="314" t="str">
        <f t="shared" ca="1" si="254"/>
        <v>Apogée</v>
      </c>
      <c r="Z541" s="315" t="str">
        <f t="shared" ca="1" si="255"/>
        <v/>
      </c>
      <c r="AA541" s="316" t="str">
        <f t="shared" ca="1" si="256"/>
        <v/>
      </c>
      <c r="AC541" s="310" t="e">
        <f t="shared" ca="1" si="257"/>
        <v>#N/A</v>
      </c>
      <c r="AD541" s="323" t="e">
        <f t="shared" ca="1" si="258"/>
        <v>#N/A</v>
      </c>
      <c r="AE541" s="324" t="e">
        <f t="shared" ca="1" si="237"/>
        <v>#N/A</v>
      </c>
      <c r="AG541" s="306">
        <f t="shared" ca="1" si="259"/>
        <v>-0.82408858833686016</v>
      </c>
      <c r="AH541" s="304">
        <f t="shared" ca="1" si="260"/>
        <v>-7.5606006205269666E-2</v>
      </c>
    </row>
    <row r="542" spans="1:34" x14ac:dyDescent="0.2">
      <c r="A542" s="347">
        <f t="shared" ca="1" si="238"/>
        <v>0.1</v>
      </c>
      <c r="B542" s="304">
        <f t="shared" ca="1" si="239"/>
        <v>17.79999999999994</v>
      </c>
      <c r="D542" s="306">
        <f t="shared" ca="1" si="240"/>
        <v>-7.5088295458157858E-2</v>
      </c>
      <c r="E542" s="307">
        <f t="shared" ca="1" si="241"/>
        <v>-9.8105820720001518</v>
      </c>
      <c r="F542" s="304">
        <f t="shared" ca="1" si="242"/>
        <v>9.8108694234285672</v>
      </c>
      <c r="G542" s="306">
        <f t="shared" ca="1" si="243"/>
        <v>14.257611018738546</v>
      </c>
      <c r="H542" s="307">
        <f t="shared" ca="1" si="244"/>
        <v>-0.87047736644697427</v>
      </c>
      <c r="I542" s="304">
        <f t="shared" ca="1" si="245"/>
        <v>14.284159156462492</v>
      </c>
      <c r="J542" s="306">
        <f t="shared" ca="1" si="246"/>
        <v>286.3166772440012</v>
      </c>
      <c r="K542" s="307">
        <f t="shared" ca="1" si="247"/>
        <v>1592.8468708510761</v>
      </c>
      <c r="L542" s="304">
        <f t="shared" ca="1" si="232"/>
        <v>1618.3752326478896</v>
      </c>
      <c r="M542" s="306">
        <f t="shared" ca="1" si="248"/>
        <v>-6.0977831439187904E-2</v>
      </c>
      <c r="N542" s="304">
        <f t="shared" ca="1" si="249"/>
        <v>-3.4937723853256095</v>
      </c>
      <c r="P542" s="310">
        <f t="shared" ca="1" si="250"/>
        <v>23</v>
      </c>
      <c r="Q542" s="304">
        <f t="shared" ca="1" si="251"/>
        <v>0</v>
      </c>
      <c r="R542" s="306">
        <f t="shared" ca="1" si="252"/>
        <v>0</v>
      </c>
      <c r="S542" s="307">
        <f t="shared" ca="1" si="253"/>
        <v>7.4819999999999904</v>
      </c>
      <c r="T542" s="304">
        <f t="shared" ca="1" si="233"/>
        <v>73.398419999999916</v>
      </c>
      <c r="U542" s="311">
        <f t="shared" ca="1" si="234"/>
        <v>0</v>
      </c>
      <c r="V542" s="306">
        <f t="shared" ca="1" si="235"/>
        <v>1.0442700176625057</v>
      </c>
      <c r="W542" s="304">
        <f t="shared" ca="1" si="236"/>
        <v>0.56329652704302269</v>
      </c>
      <c r="Y542" s="314" t="str">
        <f t="shared" ca="1" si="254"/>
        <v/>
      </c>
      <c r="Z542" s="315" t="str">
        <f t="shared" ca="1" si="255"/>
        <v/>
      </c>
      <c r="AA542" s="316" t="str">
        <f t="shared" ca="1" si="256"/>
        <v/>
      </c>
      <c r="AC542" s="310" t="e">
        <f t="shared" ca="1" si="257"/>
        <v>#N/A</v>
      </c>
      <c r="AD542" s="323" t="e">
        <f t="shared" ca="1" si="258"/>
        <v>#N/A</v>
      </c>
      <c r="AE542" s="324" t="e">
        <f t="shared" ca="1" si="237"/>
        <v>#N/A</v>
      </c>
      <c r="AG542" s="306">
        <f t="shared" ca="1" si="259"/>
        <v>-0.15113375810086838</v>
      </c>
      <c r="AH542" s="304">
        <f t="shared" ca="1" si="260"/>
        <v>-7.5090551487021109E-2</v>
      </c>
    </row>
    <row r="543" spans="1:34" x14ac:dyDescent="0.2">
      <c r="A543" s="347">
        <f t="shared" ca="1" si="238"/>
        <v>0.1</v>
      </c>
      <c r="B543" s="304">
        <f t="shared" ca="1" si="239"/>
        <v>17.899999999999942</v>
      </c>
      <c r="D543" s="306">
        <f t="shared" ca="1" si="240"/>
        <v>-7.5146966039959601E-2</v>
      </c>
      <c r="E543" s="307">
        <f t="shared" ca="1" si="241"/>
        <v>-9.8054120130638314</v>
      </c>
      <c r="F543" s="304">
        <f t="shared" ca="1" si="242"/>
        <v>9.805699965450783</v>
      </c>
      <c r="G543" s="306">
        <f t="shared" ca="1" si="243"/>
        <v>14.250096322134549</v>
      </c>
      <c r="H543" s="307">
        <f t="shared" ca="1" si="244"/>
        <v>-1.8510185677533575</v>
      </c>
      <c r="I543" s="304">
        <f t="shared" ca="1" si="245"/>
        <v>14.369812626763103</v>
      </c>
      <c r="J543" s="306">
        <f t="shared" ca="1" si="246"/>
        <v>287.74206261104484</v>
      </c>
      <c r="K543" s="307">
        <f t="shared" ca="1" si="247"/>
        <v>1592.710796054366</v>
      </c>
      <c r="L543" s="304">
        <f t="shared" ca="1" si="232"/>
        <v>1618.4941070216446</v>
      </c>
      <c r="M543" s="306">
        <f t="shared" ca="1" si="248"/>
        <v>-0.12917190680948346</v>
      </c>
      <c r="N543" s="304">
        <f t="shared" ca="1" si="249"/>
        <v>-7.401005091840581</v>
      </c>
      <c r="P543" s="310">
        <f t="shared" ca="1" si="250"/>
        <v>23</v>
      </c>
      <c r="Q543" s="304">
        <f t="shared" ca="1" si="251"/>
        <v>0</v>
      </c>
      <c r="R543" s="306">
        <f t="shared" ca="1" si="252"/>
        <v>0</v>
      </c>
      <c r="S543" s="307">
        <f t="shared" ca="1" si="253"/>
        <v>7.4819999999999904</v>
      </c>
      <c r="T543" s="304">
        <f t="shared" ca="1" si="233"/>
        <v>73.398419999999916</v>
      </c>
      <c r="U543" s="311">
        <f t="shared" ca="1" si="234"/>
        <v>0</v>
      </c>
      <c r="V543" s="306">
        <f t="shared" ca="1" si="235"/>
        <v>1.0442843183429182</v>
      </c>
      <c r="W543" s="304">
        <f t="shared" ca="1" si="236"/>
        <v>0.57008008590139903</v>
      </c>
      <c r="Y543" s="314" t="str">
        <f t="shared" ca="1" si="254"/>
        <v/>
      </c>
      <c r="Z543" s="315" t="str">
        <f t="shared" ca="1" si="255"/>
        <v/>
      </c>
      <c r="AA543" s="316" t="str">
        <f t="shared" ca="1" si="256"/>
        <v/>
      </c>
      <c r="AC543" s="310" t="e">
        <f t="shared" ca="1" si="257"/>
        <v>#N/A</v>
      </c>
      <c r="AD543" s="323" t="e">
        <f t="shared" ca="1" si="258"/>
        <v>#N/A</v>
      </c>
      <c r="AE543" s="324" t="e">
        <f t="shared" ca="1" si="237"/>
        <v>#N/A</v>
      </c>
      <c r="AG543" s="306">
        <f t="shared" ca="1" si="259"/>
        <v>0.52253499371339274</v>
      </c>
      <c r="AH543" s="304">
        <f t="shared" ca="1" si="260"/>
        <v>-7.5286892146888981E-2</v>
      </c>
    </row>
    <row r="544" spans="1:34" x14ac:dyDescent="0.2">
      <c r="A544" s="347">
        <f t="shared" ca="1" si="238"/>
        <v>0.1</v>
      </c>
      <c r="B544" s="304">
        <f t="shared" ca="1" si="239"/>
        <v>17.999999999999943</v>
      </c>
      <c r="D544" s="306">
        <f t="shared" ca="1" si="240"/>
        <v>-7.5558766818770176E-2</v>
      </c>
      <c r="E544" s="307">
        <f t="shared" ca="1" si="241"/>
        <v>-9.8001852817569493</v>
      </c>
      <c r="F544" s="304">
        <f t="shared" ca="1" si="242"/>
        <v>9.800476553923728</v>
      </c>
      <c r="G544" s="306">
        <f t="shared" ca="1" si="243"/>
        <v>14.242540445452672</v>
      </c>
      <c r="H544" s="307">
        <f t="shared" ca="1" si="244"/>
        <v>-2.8310370959290525</v>
      </c>
      <c r="I544" s="304">
        <f t="shared" ca="1" si="245"/>
        <v>14.521182093028155</v>
      </c>
      <c r="J544" s="306">
        <f t="shared" ca="1" si="246"/>
        <v>289.1666944494242</v>
      </c>
      <c r="K544" s="307">
        <f t="shared" ca="1" si="247"/>
        <v>1592.4766932711818</v>
      </c>
      <c r="L544" s="304">
        <f t="shared" ca="1" si="232"/>
        <v>1618.517653839687</v>
      </c>
      <c r="M544" s="306">
        <f t="shared" ca="1" si="248"/>
        <v>-0.19621578521833161</v>
      </c>
      <c r="N544" s="304">
        <f t="shared" ca="1" si="249"/>
        <v>-11.242336366855845</v>
      </c>
      <c r="P544" s="310">
        <f t="shared" ca="1" si="250"/>
        <v>23</v>
      </c>
      <c r="Q544" s="304">
        <f t="shared" ca="1" si="251"/>
        <v>0</v>
      </c>
      <c r="R544" s="306">
        <f t="shared" ca="1" si="252"/>
        <v>0</v>
      </c>
      <c r="S544" s="307">
        <f t="shared" ca="1" si="253"/>
        <v>7.4819999999999904</v>
      </c>
      <c r="T544" s="304">
        <f t="shared" ca="1" si="233"/>
        <v>73.398419999999916</v>
      </c>
      <c r="U544" s="311">
        <f t="shared" ca="1" si="234"/>
        <v>0</v>
      </c>
      <c r="V544" s="306">
        <f t="shared" ca="1" si="235"/>
        <v>1.0443089216240657</v>
      </c>
      <c r="W544" s="304">
        <f t="shared" ca="1" si="236"/>
        <v>0.58216733610348448</v>
      </c>
      <c r="Y544" s="314" t="str">
        <f t="shared" ca="1" si="254"/>
        <v/>
      </c>
      <c r="Z544" s="315" t="str">
        <f t="shared" ca="1" si="255"/>
        <v/>
      </c>
      <c r="AA544" s="316" t="str">
        <f t="shared" ca="1" si="256"/>
        <v/>
      </c>
      <c r="AC544" s="310">
        <f t="shared" ca="1" si="257"/>
        <v>17.999999999999943</v>
      </c>
      <c r="AD544" s="323">
        <f t="shared" ca="1" si="258"/>
        <v>289.1666944494242</v>
      </c>
      <c r="AE544" s="324" t="e">
        <f t="shared" ca="1" si="237"/>
        <v>#N/A</v>
      </c>
      <c r="AG544" s="306">
        <f t="shared" ca="1" si="259"/>
        <v>1.1874619149191925</v>
      </c>
      <c r="AH544" s="304">
        <f t="shared" ca="1" si="260"/>
        <v>-7.6193542622480584E-2</v>
      </c>
    </row>
    <row r="545" spans="1:34" x14ac:dyDescent="0.2">
      <c r="A545" s="347">
        <f t="shared" ca="1" si="238"/>
        <v>0.1</v>
      </c>
      <c r="B545" s="304">
        <f t="shared" ca="1" si="239"/>
        <v>18.099999999999945</v>
      </c>
      <c r="D545" s="306">
        <f t="shared" ca="1" si="240"/>
        <v>-7.631600376884759E-2</v>
      </c>
      <c r="E545" s="307">
        <f t="shared" ca="1" si="241"/>
        <v>-9.7948304143133651</v>
      </c>
      <c r="F545" s="304">
        <f t="shared" ca="1" si="242"/>
        <v>9.7951277162469594</v>
      </c>
      <c r="G545" s="306">
        <f t="shared" ca="1" si="243"/>
        <v>14.234908845075788</v>
      </c>
      <c r="H545" s="307">
        <f t="shared" ca="1" si="244"/>
        <v>-3.8105201373603892</v>
      </c>
      <c r="I545" s="304">
        <f t="shared" ca="1" si="245"/>
        <v>14.736101707875321</v>
      </c>
      <c r="J545" s="306">
        <f t="shared" ca="1" si="246"/>
        <v>290.59056691395062</v>
      </c>
      <c r="K545" s="307">
        <f t="shared" ca="1" si="247"/>
        <v>1592.1446154095174</v>
      </c>
      <c r="L545" s="304">
        <f t="shared" ca="1" si="232"/>
        <v>1618.4459688098616</v>
      </c>
      <c r="M545" s="306">
        <f t="shared" ca="1" si="248"/>
        <v>-0.26155606006977838</v>
      </c>
      <c r="N545" s="304">
        <f t="shared" ca="1" si="249"/>
        <v>-14.986058348068537</v>
      </c>
      <c r="P545" s="310">
        <f t="shared" ca="1" si="250"/>
        <v>23</v>
      </c>
      <c r="Q545" s="304">
        <f t="shared" ca="1" si="251"/>
        <v>0</v>
      </c>
      <c r="R545" s="306">
        <f t="shared" ca="1" si="252"/>
        <v>0</v>
      </c>
      <c r="S545" s="307">
        <f t="shared" ca="1" si="253"/>
        <v>7.4819999999999904</v>
      </c>
      <c r="T545" s="304">
        <f t="shared" ca="1" si="233"/>
        <v>73.398419999999916</v>
      </c>
      <c r="U545" s="311">
        <f t="shared" ca="1" si="234"/>
        <v>0</v>
      </c>
      <c r="V545" s="306">
        <f t="shared" ca="1" si="235"/>
        <v>1.0443438226154946</v>
      </c>
      <c r="W545" s="304">
        <f t="shared" ca="1" si="236"/>
        <v>0.5995475414669611</v>
      </c>
      <c r="Y545" s="314" t="str">
        <f t="shared" ca="1" si="254"/>
        <v/>
      </c>
      <c r="Z545" s="315" t="str">
        <f t="shared" ca="1" si="255"/>
        <v/>
      </c>
      <c r="AA545" s="316" t="str">
        <f t="shared" ca="1" si="256"/>
        <v/>
      </c>
      <c r="AC545" s="310" t="e">
        <f t="shared" ca="1" si="257"/>
        <v>#N/A</v>
      </c>
      <c r="AD545" s="323" t="e">
        <f t="shared" ca="1" si="258"/>
        <v>#N/A</v>
      </c>
      <c r="AE545" s="324" t="e">
        <f t="shared" ca="1" si="237"/>
        <v>#N/A</v>
      </c>
      <c r="AG545" s="306">
        <f t="shared" ca="1" si="259"/>
        <v>1.8347400583685025</v>
      </c>
      <c r="AH545" s="304">
        <f t="shared" ca="1" si="260"/>
        <v>-7.7809053208164294E-2</v>
      </c>
    </row>
    <row r="546" spans="1:34" x14ac:dyDescent="0.2">
      <c r="A546" s="347">
        <f t="shared" ca="1" si="238"/>
        <v>0.1</v>
      </c>
      <c r="B546" s="304">
        <f t="shared" ca="1" si="239"/>
        <v>18.199999999999946</v>
      </c>
      <c r="D546" s="306">
        <f t="shared" ca="1" si="240"/>
        <v>-7.7406601906150757E-2</v>
      </c>
      <c r="E546" s="307">
        <f t="shared" ca="1" si="241"/>
        <v>-9.789279149691918</v>
      </c>
      <c r="F546" s="304">
        <f t="shared" ca="1" si="242"/>
        <v>9.7895851828671265</v>
      </c>
      <c r="G546" s="306">
        <f t="shared" ca="1" si="243"/>
        <v>14.227168184885173</v>
      </c>
      <c r="H546" s="307">
        <f t="shared" ca="1" si="244"/>
        <v>-4.7894480523295808</v>
      </c>
      <c r="I546" s="304">
        <f t="shared" ca="1" si="245"/>
        <v>15.011699677483975</v>
      </c>
      <c r="J546" s="306">
        <f t="shared" ca="1" si="246"/>
        <v>292.01367076544869</v>
      </c>
      <c r="K546" s="307">
        <f t="shared" ca="1" si="247"/>
        <v>1591.7146170000328</v>
      </c>
      <c r="L546" s="304">
        <f t="shared" ca="1" si="232"/>
        <v>1618.2791495553149</v>
      </c>
      <c r="M546" s="306">
        <f t="shared" ca="1" si="248"/>
        <v>-0.32472448999619868</v>
      </c>
      <c r="N546" s="304">
        <f t="shared" ca="1" si="249"/>
        <v>-18.605342781320306</v>
      </c>
      <c r="P546" s="310">
        <f t="shared" ca="1" si="250"/>
        <v>23</v>
      </c>
      <c r="Q546" s="304">
        <f t="shared" ca="1" si="251"/>
        <v>0</v>
      </c>
      <c r="R546" s="306">
        <f t="shared" ca="1" si="252"/>
        <v>0</v>
      </c>
      <c r="S546" s="307">
        <f t="shared" ca="1" si="253"/>
        <v>7.4819999999999904</v>
      </c>
      <c r="T546" s="304">
        <f t="shared" ca="1" si="233"/>
        <v>73.398419999999916</v>
      </c>
      <c r="U546" s="311">
        <f t="shared" ca="1" si="234"/>
        <v>0</v>
      </c>
      <c r="V546" s="306">
        <f t="shared" ca="1" si="235"/>
        <v>1.0443890165360148</v>
      </c>
      <c r="W546" s="304">
        <f t="shared" ca="1" si="236"/>
        <v>0.62220992473160375</v>
      </c>
      <c r="Y546" s="314" t="str">
        <f t="shared" ca="1" si="254"/>
        <v/>
      </c>
      <c r="Z546" s="315" t="str">
        <f t="shared" ca="1" si="255"/>
        <v/>
      </c>
      <c r="AA546" s="316" t="str">
        <f t="shared" ca="1" si="256"/>
        <v/>
      </c>
      <c r="AC546" s="310" t="e">
        <f t="shared" ca="1" si="257"/>
        <v>#N/A</v>
      </c>
      <c r="AD546" s="323" t="e">
        <f t="shared" ca="1" si="258"/>
        <v>#N/A</v>
      </c>
      <c r="AE546" s="324" t="e">
        <f t="shared" ca="1" si="237"/>
        <v>#N/A</v>
      </c>
      <c r="AG546" s="306">
        <f t="shared" ca="1" si="259"/>
        <v>2.4565770599055914</v>
      </c>
      <c r="AH546" s="304">
        <f t="shared" ca="1" si="260"/>
        <v>-8.0131988969120799E-2</v>
      </c>
    </row>
    <row r="547" spans="1:34" x14ac:dyDescent="0.2">
      <c r="A547" s="347">
        <f t="shared" ca="1" si="238"/>
        <v>0.1</v>
      </c>
      <c r="B547" s="304">
        <f t="shared" ca="1" si="239"/>
        <v>18.299999999999947</v>
      </c>
      <c r="D547" s="306">
        <f t="shared" ca="1" si="240"/>
        <v>-7.8814809182389645E-2</v>
      </c>
      <c r="E547" s="307">
        <f t="shared" ca="1" si="241"/>
        <v>-9.7834677042242078</v>
      </c>
      <c r="F547" s="304">
        <f t="shared" ca="1" si="242"/>
        <v>9.7837851618759775</v>
      </c>
      <c r="G547" s="306">
        <f t="shared" ca="1" si="243"/>
        <v>14.219286703966933</v>
      </c>
      <c r="H547" s="307">
        <f t="shared" ca="1" si="244"/>
        <v>-5.7677948227520019</v>
      </c>
      <c r="I547" s="304">
        <f t="shared" ca="1" si="245"/>
        <v>15.344561625767469</v>
      </c>
      <c r="J547" s="306">
        <f t="shared" ca="1" si="246"/>
        <v>293.43599350989132</v>
      </c>
      <c r="K547" s="307">
        <f t="shared" ca="1" si="247"/>
        <v>1591.1867548562786</v>
      </c>
      <c r="L547" s="304">
        <f t="shared" ca="1" si="232"/>
        <v>1618.0172962972899</v>
      </c>
      <c r="M547" s="306">
        <f t="shared" ca="1" si="248"/>
        <v>-0.38535192677661273</v>
      </c>
      <c r="N547" s="304">
        <f t="shared" ca="1" si="249"/>
        <v>-22.079039031534247</v>
      </c>
      <c r="P547" s="310">
        <f t="shared" ca="1" si="250"/>
        <v>23</v>
      </c>
      <c r="Q547" s="304">
        <f t="shared" ca="1" si="251"/>
        <v>0</v>
      </c>
      <c r="R547" s="306">
        <f t="shared" ca="1" si="252"/>
        <v>0</v>
      </c>
      <c r="S547" s="307">
        <f t="shared" ca="1" si="253"/>
        <v>7.4819999999999904</v>
      </c>
      <c r="T547" s="304">
        <f t="shared" ca="1" si="233"/>
        <v>73.398419999999916</v>
      </c>
      <c r="U547" s="311">
        <f t="shared" ca="1" si="234"/>
        <v>0</v>
      </c>
      <c r="V547" s="306">
        <f t="shared" ca="1" si="235"/>
        <v>1.0444444986438248</v>
      </c>
      <c r="W547" s="304">
        <f t="shared" ca="1" si="236"/>
        <v>0.65014352508819129</v>
      </c>
      <c r="Y547" s="314" t="str">
        <f t="shared" ca="1" si="254"/>
        <v/>
      </c>
      <c r="Z547" s="315" t="str">
        <f t="shared" ca="1" si="255"/>
        <v/>
      </c>
      <c r="AA547" s="316" t="str">
        <f t="shared" ca="1" si="256"/>
        <v/>
      </c>
      <c r="AC547" s="310" t="e">
        <f t="shared" ca="1" si="257"/>
        <v>#N/A</v>
      </c>
      <c r="AD547" s="323" t="e">
        <f t="shared" ca="1" si="258"/>
        <v>#N/A</v>
      </c>
      <c r="AE547" s="324" t="e">
        <f t="shared" ca="1" si="237"/>
        <v>#N/A</v>
      </c>
      <c r="AG547" s="306">
        <f t="shared" ca="1" si="259"/>
        <v>3.0466968949510762</v>
      </c>
      <c r="AH547" s="304">
        <f t="shared" ca="1" si="260"/>
        <v>-8.3160909480299985E-2</v>
      </c>
    </row>
    <row r="548" spans="1:34" x14ac:dyDescent="0.2">
      <c r="A548" s="347">
        <f t="shared" ca="1" si="238"/>
        <v>0.1</v>
      </c>
      <c r="B548" s="304">
        <f t="shared" ca="1" si="239"/>
        <v>18.399999999999949</v>
      </c>
      <c r="D548" s="306">
        <f t="shared" ca="1" si="240"/>
        <v>-8.0522057434786104E-2</v>
      </c>
      <c r="E548" s="307">
        <f t="shared" ca="1" si="241"/>
        <v>-9.7773376931164826</v>
      </c>
      <c r="F548" s="304">
        <f t="shared" ca="1" si="242"/>
        <v>9.7776692604613018</v>
      </c>
      <c r="G548" s="306">
        <f t="shared" ca="1" si="243"/>
        <v>14.211234498223455</v>
      </c>
      <c r="H548" s="307">
        <f t="shared" ca="1" si="244"/>
        <v>-6.7455285920636499</v>
      </c>
      <c r="I548" s="304">
        <f t="shared" ca="1" si="245"/>
        <v>15.730904041085644</v>
      </c>
      <c r="J548" s="306">
        <f t="shared" ca="1" si="246"/>
        <v>294.85751957000082</v>
      </c>
      <c r="K548" s="307">
        <f t="shared" ca="1" si="247"/>
        <v>1590.5610886855379</v>
      </c>
      <c r="L548" s="304">
        <f t="shared" ca="1" si="232"/>
        <v>1617.6605124955906</v>
      </c>
      <c r="M548" s="306">
        <f t="shared" ca="1" si="248"/>
        <v>-0.44317227010182197</v>
      </c>
      <c r="N548" s="304">
        <f t="shared" ca="1" si="249"/>
        <v>-25.391900674066157</v>
      </c>
      <c r="P548" s="310">
        <f t="shared" ca="1" si="250"/>
        <v>23</v>
      </c>
      <c r="Q548" s="304">
        <f t="shared" ca="1" si="251"/>
        <v>0</v>
      </c>
      <c r="R548" s="306">
        <f t="shared" ca="1" si="252"/>
        <v>0</v>
      </c>
      <c r="S548" s="307">
        <f t="shared" ca="1" si="253"/>
        <v>7.4819999999999904</v>
      </c>
      <c r="T548" s="304">
        <f t="shared" ca="1" si="233"/>
        <v>73.398419999999916</v>
      </c>
      <c r="U548" s="311">
        <f t="shared" ca="1" si="234"/>
        <v>0</v>
      </c>
      <c r="V548" s="306">
        <f t="shared" ca="1" si="235"/>
        <v>1.0445102641717952</v>
      </c>
      <c r="W548" s="304">
        <f t="shared" ca="1" si="236"/>
        <v>0.6833370670788097</v>
      </c>
      <c r="Y548" s="314" t="str">
        <f t="shared" ca="1" si="254"/>
        <v/>
      </c>
      <c r="Z548" s="315" t="str">
        <f t="shared" ca="1" si="255"/>
        <v/>
      </c>
      <c r="AA548" s="316" t="str">
        <f t="shared" ca="1" si="256"/>
        <v/>
      </c>
      <c r="AC548" s="310" t="e">
        <f t="shared" ca="1" si="257"/>
        <v>#N/A</v>
      </c>
      <c r="AD548" s="323" t="e">
        <f t="shared" ca="1" si="258"/>
        <v>#N/A</v>
      </c>
      <c r="AE548" s="324" t="e">
        <f t="shared" ca="1" si="237"/>
        <v>#N/A</v>
      </c>
      <c r="AG548" s="306">
        <f t="shared" ca="1" si="259"/>
        <v>3.6005402339562398</v>
      </c>
      <c r="AH548" s="304">
        <f t="shared" ca="1" si="260"/>
        <v>-8.6894349784575262E-2</v>
      </c>
    </row>
    <row r="549" spans="1:34" x14ac:dyDescent="0.2">
      <c r="A549" s="347">
        <f t="shared" ca="1" si="238"/>
        <v>0.1</v>
      </c>
      <c r="B549" s="304">
        <f t="shared" ca="1" si="239"/>
        <v>18.49999999999995</v>
      </c>
      <c r="D549" s="306">
        <f t="shared" ca="1" si="240"/>
        <v>-8.2507874507217846E-2</v>
      </c>
      <c r="E549" s="307">
        <f t="shared" ca="1" si="241"/>
        <v>-9.7708366728007761</v>
      </c>
      <c r="F549" s="304">
        <f t="shared" ca="1" si="242"/>
        <v>9.7711850272064869</v>
      </c>
      <c r="G549" s="306">
        <f t="shared" ca="1" si="243"/>
        <v>14.202983710772733</v>
      </c>
      <c r="H549" s="307">
        <f t="shared" ca="1" si="244"/>
        <v>-7.7226122593437276</v>
      </c>
      <c r="I549" s="304">
        <f t="shared" ca="1" si="245"/>
        <v>16.166740128938848</v>
      </c>
      <c r="J549" s="306">
        <f t="shared" ca="1" si="246"/>
        <v>296.27823048045065</v>
      </c>
      <c r="K549" s="307">
        <f t="shared" ca="1" si="247"/>
        <v>1589.8376816429675</v>
      </c>
      <c r="L549" s="304">
        <f t="shared" ca="1" si="232"/>
        <v>1617.2089054381665</v>
      </c>
      <c r="M549" s="306">
        <f t="shared" ca="1" si="248"/>
        <v>-0.49801795012426991</v>
      </c>
      <c r="N549" s="304">
        <f t="shared" ca="1" si="249"/>
        <v>-28.534326663877398</v>
      </c>
      <c r="P549" s="310">
        <f t="shared" ca="1" si="250"/>
        <v>23</v>
      </c>
      <c r="Q549" s="304">
        <f t="shared" ca="1" si="251"/>
        <v>0</v>
      </c>
      <c r="R549" s="306">
        <f t="shared" ca="1" si="252"/>
        <v>0</v>
      </c>
      <c r="S549" s="307">
        <f t="shared" ca="1" si="253"/>
        <v>7.4819999999999904</v>
      </c>
      <c r="T549" s="304">
        <f t="shared" ca="1" si="233"/>
        <v>73.398419999999916</v>
      </c>
      <c r="U549" s="311">
        <f t="shared" ca="1" si="234"/>
        <v>0</v>
      </c>
      <c r="V549" s="306">
        <f t="shared" ca="1" si="235"/>
        <v>1.0445863082686755</v>
      </c>
      <c r="W549" s="304">
        <f t="shared" ca="1" si="236"/>
        <v>0.72177884231469713</v>
      </c>
      <c r="Y549" s="314" t="str">
        <f t="shared" ca="1" si="254"/>
        <v/>
      </c>
      <c r="Z549" s="315" t="str">
        <f t="shared" ca="1" si="255"/>
        <v/>
      </c>
      <c r="AA549" s="316" t="str">
        <f t="shared" ca="1" si="256"/>
        <v/>
      </c>
      <c r="AC549" s="310" t="e">
        <f t="shared" ca="1" si="257"/>
        <v>#N/A</v>
      </c>
      <c r="AD549" s="323" t="e">
        <f t="shared" ca="1" si="258"/>
        <v>#N/A</v>
      </c>
      <c r="AE549" s="324" t="e">
        <f t="shared" ca="1" si="237"/>
        <v>#N/A</v>
      </c>
      <c r="AG549" s="306">
        <f t="shared" ca="1" si="259"/>
        <v>4.1152701219911529</v>
      </c>
      <c r="AH549" s="304">
        <f t="shared" ca="1" si="260"/>
        <v>-9.133080287073117E-2</v>
      </c>
    </row>
    <row r="550" spans="1:34" x14ac:dyDescent="0.2">
      <c r="A550" s="347">
        <f t="shared" ca="1" si="238"/>
        <v>0.1</v>
      </c>
      <c r="B550" s="304">
        <f t="shared" ca="1" si="239"/>
        <v>18.599999999999952</v>
      </c>
      <c r="D550" s="306">
        <f t="shared" ca="1" si="240"/>
        <v>-8.4750754862152403E-2</v>
      </c>
      <c r="E550" s="307">
        <f t="shared" ca="1" si="241"/>
        <v>-9.763918329288046</v>
      </c>
      <c r="F550" s="304">
        <f t="shared" ca="1" si="242"/>
        <v>9.7642861403922812</v>
      </c>
      <c r="G550" s="306">
        <f t="shared" ca="1" si="243"/>
        <v>14.194508635286518</v>
      </c>
      <c r="H550" s="307">
        <f t="shared" ca="1" si="244"/>
        <v>-8.6990040922725314</v>
      </c>
      <c r="I550" s="304">
        <f t="shared" ca="1" si="245"/>
        <v>16.648025336195214</v>
      </c>
      <c r="J550" s="306">
        <f t="shared" ca="1" si="246"/>
        <v>297.69810509775363</v>
      </c>
      <c r="K550" s="307">
        <f t="shared" ca="1" si="247"/>
        <v>1589.0166008253866</v>
      </c>
      <c r="L550" s="304">
        <f t="shared" ca="1" si="232"/>
        <v>1616.6625867748221</v>
      </c>
      <c r="M550" s="306">
        <f t="shared" ca="1" si="248"/>
        <v>-0.54980934204465515</v>
      </c>
      <c r="N550" s="304">
        <f t="shared" ca="1" si="249"/>
        <v>-31.501754836023423</v>
      </c>
      <c r="P550" s="310">
        <f t="shared" ca="1" si="250"/>
        <v>23</v>
      </c>
      <c r="Q550" s="304">
        <f t="shared" ca="1" si="251"/>
        <v>0</v>
      </c>
      <c r="R550" s="306">
        <f t="shared" ca="1" si="252"/>
        <v>0</v>
      </c>
      <c r="S550" s="307">
        <f t="shared" ca="1" si="253"/>
        <v>7.4819999999999904</v>
      </c>
      <c r="T550" s="304">
        <f t="shared" ca="1" si="233"/>
        <v>73.398419999999916</v>
      </c>
      <c r="U550" s="311">
        <f t="shared" ca="1" si="234"/>
        <v>0</v>
      </c>
      <c r="V550" s="306">
        <f t="shared" ca="1" si="235"/>
        <v>1.0446726259465955</v>
      </c>
      <c r="W550" s="304">
        <f t="shared" ca="1" si="236"/>
        <v>0.76545660466942689</v>
      </c>
      <c r="Y550" s="314" t="str">
        <f t="shared" ca="1" si="254"/>
        <v/>
      </c>
      <c r="Z550" s="315" t="str">
        <f t="shared" ca="1" si="255"/>
        <v/>
      </c>
      <c r="AA550" s="316" t="str">
        <f t="shared" ca="1" si="256"/>
        <v/>
      </c>
      <c r="AC550" s="310" t="e">
        <f t="shared" ca="1" si="257"/>
        <v>#N/A</v>
      </c>
      <c r="AD550" s="323" t="e">
        <f t="shared" ca="1" si="258"/>
        <v>#N/A</v>
      </c>
      <c r="AE550" s="324" t="e">
        <f t="shared" ca="1" si="237"/>
        <v>#N/A</v>
      </c>
      <c r="AG550" s="306">
        <f t="shared" ca="1" si="259"/>
        <v>4.5896229670562692</v>
      </c>
      <c r="AH550" s="304">
        <f t="shared" ca="1" si="260"/>
        <v>-9.6468703864568031E-2</v>
      </c>
    </row>
    <row r="551" spans="1:34" x14ac:dyDescent="0.2">
      <c r="A551" s="347">
        <f t="shared" ca="1" si="238"/>
        <v>0.1</v>
      </c>
      <c r="B551" s="304">
        <f t="shared" ca="1" si="239"/>
        <v>18.699999999999953</v>
      </c>
      <c r="D551" s="306">
        <f t="shared" ca="1" si="240"/>
        <v>-8.7228922129197528E-2</v>
      </c>
      <c r="E551" s="307">
        <f t="shared" ca="1" si="241"/>
        <v>-9.7565423728243701</v>
      </c>
      <c r="F551" s="304">
        <f t="shared" ca="1" si="242"/>
        <v>9.7569323026027615</v>
      </c>
      <c r="G551" s="306">
        <f t="shared" ca="1" si="243"/>
        <v>14.185785743073598</v>
      </c>
      <c r="H551" s="307">
        <f t="shared" ca="1" si="244"/>
        <v>-9.6746583295549691</v>
      </c>
      <c r="I551" s="304">
        <f t="shared" ca="1" si="245"/>
        <v>17.170775490408623</v>
      </c>
      <c r="J551" s="306">
        <f t="shared" ca="1" si="246"/>
        <v>299.11711981667162</v>
      </c>
      <c r="K551" s="307">
        <f t="shared" ca="1" si="247"/>
        <v>1588.0979177042952</v>
      </c>
      <c r="L551" s="304">
        <f t="shared" ca="1" si="232"/>
        <v>1616.0216729933234</v>
      </c>
      <c r="M551" s="306">
        <f t="shared" ca="1" si="248"/>
        <v>-0.59854071375727602</v>
      </c>
      <c r="N551" s="304">
        <f t="shared" ca="1" si="249"/>
        <v>-34.293856765039806</v>
      </c>
      <c r="P551" s="310">
        <f t="shared" ca="1" si="250"/>
        <v>23</v>
      </c>
      <c r="Q551" s="304">
        <f t="shared" ca="1" si="251"/>
        <v>0</v>
      </c>
      <c r="R551" s="306">
        <f t="shared" ca="1" si="252"/>
        <v>0</v>
      </c>
      <c r="S551" s="307">
        <f t="shared" ca="1" si="253"/>
        <v>7.4819999999999904</v>
      </c>
      <c r="T551" s="304">
        <f t="shared" ca="1" si="233"/>
        <v>73.398419999999916</v>
      </c>
      <c r="U551" s="311">
        <f t="shared" ca="1" si="234"/>
        <v>0</v>
      </c>
      <c r="V551" s="306">
        <f t="shared" ca="1" si="235"/>
        <v>1.0447692120349028</v>
      </c>
      <c r="W551" s="304">
        <f t="shared" ca="1" si="236"/>
        <v>0.81435747892135868</v>
      </c>
      <c r="Y551" s="314" t="str">
        <f t="shared" ca="1" si="254"/>
        <v/>
      </c>
      <c r="Z551" s="315" t="str">
        <f t="shared" ca="1" si="255"/>
        <v/>
      </c>
      <c r="AA551" s="316" t="str">
        <f t="shared" ca="1" si="256"/>
        <v/>
      </c>
      <c r="AC551" s="310" t="e">
        <f t="shared" ca="1" si="257"/>
        <v>#N/A</v>
      </c>
      <c r="AD551" s="323" t="e">
        <f t="shared" ca="1" si="258"/>
        <v>#N/A</v>
      </c>
      <c r="AE551" s="324" t="e">
        <f t="shared" ca="1" si="237"/>
        <v>#N/A</v>
      </c>
      <c r="AG551" s="306">
        <f t="shared" ca="1" si="259"/>
        <v>5.0236606834918405</v>
      </c>
      <c r="AH551" s="304">
        <f t="shared" ca="1" si="260"/>
        <v>-0.10230641602104087</v>
      </c>
    </row>
    <row r="552" spans="1:34" x14ac:dyDescent="0.2">
      <c r="A552" s="347">
        <f t="shared" ca="1" si="238"/>
        <v>0.1</v>
      </c>
      <c r="B552" s="304">
        <f t="shared" ca="1" si="239"/>
        <v>18.799999999999955</v>
      </c>
      <c r="D552" s="306">
        <f t="shared" ca="1" si="240"/>
        <v>-8.9920946931146592E-2</v>
      </c>
      <c r="E552" s="307">
        <f t="shared" ca="1" si="241"/>
        <v>-9.7486742155855808</v>
      </c>
      <c r="F552" s="304">
        <f t="shared" ca="1" si="242"/>
        <v>9.7490889183718146</v>
      </c>
      <c r="G552" s="306">
        <f t="shared" ca="1" si="243"/>
        <v>14.176793648380484</v>
      </c>
      <c r="H552" s="307">
        <f t="shared" ca="1" si="244"/>
        <v>-10.649525751113528</v>
      </c>
      <c r="I552" s="304">
        <f t="shared" ca="1" si="245"/>
        <v>17.731155542501774</v>
      </c>
      <c r="J552" s="306">
        <f t="shared" ca="1" si="246"/>
        <v>300.53524878624432</v>
      </c>
      <c r="K552" s="307">
        <f t="shared" ca="1" si="247"/>
        <v>1587.0817085002618</v>
      </c>
      <c r="L552" s="304">
        <f t="shared" ca="1" si="232"/>
        <v>1615.2862858388664</v>
      </c>
      <c r="M552" s="306">
        <f t="shared" ca="1" si="248"/>
        <v>-0.64426498530134824</v>
      </c>
      <c r="N552" s="304">
        <f t="shared" ca="1" si="249"/>
        <v>-36.91366454582527</v>
      </c>
      <c r="P552" s="310">
        <f t="shared" ca="1" si="250"/>
        <v>23</v>
      </c>
      <c r="Q552" s="304">
        <f t="shared" ca="1" si="251"/>
        <v>0</v>
      </c>
      <c r="R552" s="306">
        <f t="shared" ca="1" si="252"/>
        <v>0</v>
      </c>
      <c r="S552" s="307">
        <f t="shared" ca="1" si="253"/>
        <v>7.4819999999999904</v>
      </c>
      <c r="T552" s="304">
        <f t="shared" ca="1" si="233"/>
        <v>73.398419999999916</v>
      </c>
      <c r="U552" s="311">
        <f t="shared" ca="1" si="234"/>
        <v>0</v>
      </c>
      <c r="V552" s="306">
        <f t="shared" ca="1" si="235"/>
        <v>1.0448760611400965</v>
      </c>
      <c r="W552" s="304">
        <f t="shared" ca="1" si="236"/>
        <v>0.86846788229034155</v>
      </c>
      <c r="Y552" s="314" t="str">
        <f t="shared" ca="1" si="254"/>
        <v/>
      </c>
      <c r="Z552" s="315" t="str">
        <f t="shared" ca="1" si="255"/>
        <v/>
      </c>
      <c r="AA552" s="316" t="str">
        <f t="shared" ca="1" si="256"/>
        <v/>
      </c>
      <c r="AC552" s="310" t="e">
        <f t="shared" ca="1" si="257"/>
        <v>#N/A</v>
      </c>
      <c r="AD552" s="323" t="e">
        <f t="shared" ca="1" si="258"/>
        <v>#N/A</v>
      </c>
      <c r="AE552" s="324" t="e">
        <f t="shared" ca="1" si="237"/>
        <v>#N/A</v>
      </c>
      <c r="AG552" s="306">
        <f t="shared" ca="1" si="259"/>
        <v>5.4184793789263583</v>
      </c>
      <c r="AH552" s="304">
        <f t="shared" ca="1" si="260"/>
        <v>-0.10884221851394811</v>
      </c>
    </row>
    <row r="553" spans="1:34" x14ac:dyDescent="0.2">
      <c r="A553" s="347">
        <f t="shared" ca="1" si="238"/>
        <v>0.1</v>
      </c>
      <c r="B553" s="304">
        <f t="shared" ca="1" si="239"/>
        <v>18.899999999999956</v>
      </c>
      <c r="D553" s="306">
        <f t="shared" ca="1" si="240"/>
        <v>-9.2806209815567212E-2</v>
      </c>
      <c r="E553" s="307">
        <f t="shared" ca="1" si="241"/>
        <v>-9.7402845096142716</v>
      </c>
      <c r="F553" s="304">
        <f t="shared" ca="1" si="242"/>
        <v>9.7407266320748409</v>
      </c>
      <c r="G553" s="306">
        <f t="shared" ca="1" si="243"/>
        <v>14.167513027398927</v>
      </c>
      <c r="H553" s="307">
        <f t="shared" ca="1" si="244"/>
        <v>-11.623554202074954</v>
      </c>
      <c r="I553" s="304">
        <f t="shared" ca="1" si="245"/>
        <v>18.325540583297744</v>
      </c>
      <c r="J553" s="306">
        <f t="shared" ca="1" si="246"/>
        <v>301.95246412003331</v>
      </c>
      <c r="K553" s="307">
        <f t="shared" ca="1" si="247"/>
        <v>1585.9680545026024</v>
      </c>
      <c r="L553" s="304">
        <f t="shared" ca="1" si="232"/>
        <v>1614.4565526798574</v>
      </c>
      <c r="M553" s="306">
        <f t="shared" ca="1" si="248"/>
        <v>-0.68707899262355532</v>
      </c>
      <c r="N553" s="304">
        <f t="shared" ca="1" si="249"/>
        <v>-39.366726469429942</v>
      </c>
      <c r="P553" s="310">
        <f t="shared" ca="1" si="250"/>
        <v>23</v>
      </c>
      <c r="Q553" s="304">
        <f t="shared" ca="1" si="251"/>
        <v>0</v>
      </c>
      <c r="R553" s="306">
        <f t="shared" ca="1" si="252"/>
        <v>0</v>
      </c>
      <c r="S553" s="307">
        <f t="shared" ca="1" si="253"/>
        <v>7.4819999999999904</v>
      </c>
      <c r="T553" s="304">
        <f t="shared" ca="1" si="233"/>
        <v>73.398419999999916</v>
      </c>
      <c r="U553" s="311">
        <f t="shared" ca="1" si="234"/>
        <v>0</v>
      </c>
      <c r="V553" s="306">
        <f t="shared" ca="1" si="235"/>
        <v>1.0449931676114532</v>
      </c>
      <c r="W553" s="304">
        <f t="shared" ca="1" si="236"/>
        <v>0.92777345795288446</v>
      </c>
      <c r="Y553" s="314" t="str">
        <f t="shared" ca="1" si="254"/>
        <v/>
      </c>
      <c r="Z553" s="315" t="str">
        <f t="shared" ca="1" si="255"/>
        <v/>
      </c>
      <c r="AA553" s="316" t="str">
        <f t="shared" ca="1" si="256"/>
        <v/>
      </c>
      <c r="AC553" s="310" t="e">
        <f t="shared" ca="1" si="257"/>
        <v>#N/A</v>
      </c>
      <c r="AD553" s="323" t="e">
        <f t="shared" ca="1" si="258"/>
        <v>#N/A</v>
      </c>
      <c r="AE553" s="324" t="e">
        <f t="shared" ca="1" si="237"/>
        <v>#N/A</v>
      </c>
      <c r="AG553" s="306">
        <f t="shared" ca="1" si="259"/>
        <v>5.7759188890413267</v>
      </c>
      <c r="AH553" s="304">
        <f t="shared" ca="1" si="260"/>
        <v>-0.11607429594898994</v>
      </c>
    </row>
    <row r="554" spans="1:34" x14ac:dyDescent="0.2">
      <c r="A554" s="347">
        <f t="shared" ca="1" si="238"/>
        <v>0.1</v>
      </c>
      <c r="B554" s="304">
        <f t="shared" ca="1" si="239"/>
        <v>18.999999999999957</v>
      </c>
      <c r="D554" s="306">
        <f t="shared" ca="1" si="240"/>
        <v>-9.5865218398241442E-2</v>
      </c>
      <c r="E554" s="307">
        <f t="shared" ca="1" si="241"/>
        <v>-9.7313486121388593</v>
      </c>
      <c r="F554" s="304">
        <f t="shared" ca="1" si="242"/>
        <v>9.7318207932059373</v>
      </c>
      <c r="G554" s="306">
        <f t="shared" ca="1" si="243"/>
        <v>14.157926505559104</v>
      </c>
      <c r="H554" s="307">
        <f t="shared" ca="1" si="244"/>
        <v>-12.59668906328884</v>
      </c>
      <c r="I554" s="304">
        <f t="shared" ca="1" si="245"/>
        <v>18.950552981219143</v>
      </c>
      <c r="J554" s="306">
        <f t="shared" ca="1" si="246"/>
        <v>303.36873609668123</v>
      </c>
      <c r="K554" s="307">
        <f t="shared" ca="1" si="247"/>
        <v>1584.7570423393342</v>
      </c>
      <c r="L554" s="304">
        <f t="shared" ca="1" si="232"/>
        <v>1613.5326068242352</v>
      </c>
      <c r="M554" s="306">
        <f t="shared" ca="1" si="248"/>
        <v>-0.72711031582155339</v>
      </c>
      <c r="N554" s="304">
        <f t="shared" ca="1" si="249"/>
        <v>-41.660352336999374</v>
      </c>
      <c r="P554" s="310">
        <f t="shared" ca="1" si="250"/>
        <v>23</v>
      </c>
      <c r="Q554" s="304">
        <f t="shared" ca="1" si="251"/>
        <v>0</v>
      </c>
      <c r="R554" s="306">
        <f t="shared" ca="1" si="252"/>
        <v>0</v>
      </c>
      <c r="S554" s="307">
        <f t="shared" ca="1" si="253"/>
        <v>7.4819999999999904</v>
      </c>
      <c r="T554" s="304">
        <f t="shared" ca="1" si="233"/>
        <v>73.398419999999916</v>
      </c>
      <c r="U554" s="311">
        <f t="shared" ca="1" si="234"/>
        <v>0</v>
      </c>
      <c r="V554" s="306">
        <f t="shared" ca="1" si="235"/>
        <v>1.045120525511805</v>
      </c>
      <c r="W554" s="304">
        <f t="shared" ca="1" si="236"/>
        <v>0.99225901941321415</v>
      </c>
      <c r="Y554" s="314" t="str">
        <f t="shared" ca="1" si="254"/>
        <v/>
      </c>
      <c r="Z554" s="315" t="str">
        <f t="shared" ca="1" si="255"/>
        <v/>
      </c>
      <c r="AA554" s="316" t="str">
        <f t="shared" ca="1" si="256"/>
        <v/>
      </c>
      <c r="AC554" s="310">
        <f t="shared" ca="1" si="257"/>
        <v>18.999999999999957</v>
      </c>
      <c r="AD554" s="323">
        <f t="shared" ca="1" si="258"/>
        <v>303.36873609668123</v>
      </c>
      <c r="AE554" s="324" t="e">
        <f t="shared" ca="1" si="237"/>
        <v>#N/A</v>
      </c>
      <c r="AG554" s="306">
        <f t="shared" ca="1" si="259"/>
        <v>6.0983023018598876</v>
      </c>
      <c r="AH554" s="304">
        <f t="shared" ca="1" si="260"/>
        <v>-0.12400072947779814</v>
      </c>
    </row>
    <row r="555" spans="1:34" x14ac:dyDescent="0.2">
      <c r="A555" s="347">
        <f t="shared" ca="1" si="238"/>
        <v>0.1</v>
      </c>
      <c r="B555" s="304">
        <f t="shared" ca="1" si="239"/>
        <v>19.099999999999959</v>
      </c>
      <c r="D555" s="306">
        <f t="shared" ca="1" si="240"/>
        <v>-9.9079799173433875E-2</v>
      </c>
      <c r="E555" s="307">
        <f t="shared" ca="1" si="241"/>
        <v>-9.7218460304091288</v>
      </c>
      <c r="F555" s="304">
        <f t="shared" ca="1" si="242"/>
        <v>9.7223509011753926</v>
      </c>
      <c r="G555" s="306">
        <f t="shared" ca="1" si="243"/>
        <v>14.14801852564176</v>
      </c>
      <c r="H555" s="307">
        <f t="shared" ca="1" si="244"/>
        <v>-13.568873666329754</v>
      </c>
      <c r="I555" s="304">
        <f t="shared" ca="1" si="245"/>
        <v>19.603080389946868</v>
      </c>
      <c r="J555" s="306">
        <f t="shared" ca="1" si="246"/>
        <v>304.78403334824128</v>
      </c>
      <c r="K555" s="307">
        <f t="shared" ca="1" si="247"/>
        <v>1583.4487642028532</v>
      </c>
      <c r="L555" s="304">
        <f t="shared" ca="1" si="232"/>
        <v>1612.5145877912437</v>
      </c>
      <c r="M555" s="306">
        <f t="shared" ca="1" si="248"/>
        <v>-0.76450618921150371</v>
      </c>
      <c r="N555" s="304">
        <f t="shared" ca="1" si="249"/>
        <v>-43.80297805344911</v>
      </c>
      <c r="P555" s="310">
        <f t="shared" ca="1" si="250"/>
        <v>23</v>
      </c>
      <c r="Q555" s="304">
        <f t="shared" ca="1" si="251"/>
        <v>0</v>
      </c>
      <c r="R555" s="306">
        <f t="shared" ca="1" si="252"/>
        <v>0</v>
      </c>
      <c r="S555" s="307">
        <f t="shared" ca="1" si="253"/>
        <v>7.4819999999999904</v>
      </c>
      <c r="T555" s="304">
        <f t="shared" ca="1" si="233"/>
        <v>73.398419999999916</v>
      </c>
      <c r="U555" s="311">
        <f t="shared" ca="1" si="234"/>
        <v>0</v>
      </c>
      <c r="V555" s="306">
        <f t="shared" ca="1" si="235"/>
        <v>1.0452581285929041</v>
      </c>
      <c r="W555" s="304">
        <f t="shared" ca="1" si="236"/>
        <v>1.061908504525753</v>
      </c>
      <c r="Y555" s="314" t="str">
        <f t="shared" ca="1" si="254"/>
        <v/>
      </c>
      <c r="Z555" s="315" t="str">
        <f t="shared" ca="1" si="255"/>
        <v/>
      </c>
      <c r="AA555" s="316" t="str">
        <f t="shared" ca="1" si="256"/>
        <v/>
      </c>
      <c r="AC555" s="310" t="e">
        <f t="shared" ca="1" si="257"/>
        <v>#N/A</v>
      </c>
      <c r="AD555" s="323" t="e">
        <f t="shared" ca="1" si="258"/>
        <v>#N/A</v>
      </c>
      <c r="AE555" s="324" t="e">
        <f t="shared" ca="1" si="237"/>
        <v>#N/A</v>
      </c>
      <c r="AG555" s="306">
        <f t="shared" ca="1" si="259"/>
        <v>6.3882202894726046</v>
      </c>
      <c r="AH555" s="304">
        <f t="shared" ca="1" si="260"/>
        <v>-0.13261948936289969</v>
      </c>
    </row>
    <row r="556" spans="1:34" x14ac:dyDescent="0.2">
      <c r="A556" s="347">
        <f t="shared" ca="1" si="238"/>
        <v>0.1</v>
      </c>
      <c r="B556" s="304">
        <f t="shared" ca="1" si="239"/>
        <v>19.19999999999996</v>
      </c>
      <c r="D556" s="306">
        <f t="shared" ca="1" si="240"/>
        <v>-0.10243318909558129</v>
      </c>
      <c r="E556" s="307">
        <f t="shared" ca="1" si="241"/>
        <v>-9.7117598825193685</v>
      </c>
      <c r="F556" s="304">
        <f t="shared" ca="1" si="242"/>
        <v>9.7123000660987042</v>
      </c>
      <c r="G556" s="306">
        <f t="shared" ca="1" si="243"/>
        <v>14.137775206732202</v>
      </c>
      <c r="H556" s="307">
        <f t="shared" ca="1" si="244"/>
        <v>-14.54004965458169</v>
      </c>
      <c r="I556" s="304">
        <f t="shared" ca="1" si="245"/>
        <v>20.280279380565567</v>
      </c>
      <c r="J556" s="306">
        <f t="shared" ca="1" si="246"/>
        <v>306.19832303485998</v>
      </c>
      <c r="K556" s="307">
        <f t="shared" ca="1" si="247"/>
        <v>1582.0433180368077</v>
      </c>
      <c r="L556" s="304">
        <f t="shared" ca="1" si="232"/>
        <v>1611.4026415437802</v>
      </c>
      <c r="M556" s="306">
        <f t="shared" ca="1" si="248"/>
        <v>-0.79942461303641277</v>
      </c>
      <c r="N556" s="304">
        <f t="shared" ca="1" si="249"/>
        <v>-45.803656365865464</v>
      </c>
      <c r="P556" s="310">
        <f t="shared" ca="1" si="250"/>
        <v>23</v>
      </c>
      <c r="Q556" s="304">
        <f t="shared" ca="1" si="251"/>
        <v>0</v>
      </c>
      <c r="R556" s="306">
        <f t="shared" ca="1" si="252"/>
        <v>0</v>
      </c>
      <c r="S556" s="307">
        <f t="shared" ca="1" si="253"/>
        <v>7.4819999999999904</v>
      </c>
      <c r="T556" s="304">
        <f t="shared" ca="1" si="233"/>
        <v>73.398419999999916</v>
      </c>
      <c r="U556" s="311">
        <f t="shared" ca="1" si="234"/>
        <v>0</v>
      </c>
      <c r="V556" s="306">
        <f t="shared" ca="1" si="235"/>
        <v>1.0454059702747942</v>
      </c>
      <c r="W556" s="304">
        <f t="shared" ca="1" si="236"/>
        <v>1.1367049379736893</v>
      </c>
      <c r="Y556" s="314" t="str">
        <f t="shared" ca="1" si="254"/>
        <v/>
      </c>
      <c r="Z556" s="315" t="str">
        <f t="shared" ca="1" si="255"/>
        <v/>
      </c>
      <c r="AA556" s="316" t="str">
        <f t="shared" ca="1" si="256"/>
        <v/>
      </c>
      <c r="AC556" s="310" t="e">
        <f t="shared" ca="1" si="257"/>
        <v>#N/A</v>
      </c>
      <c r="AD556" s="323" t="e">
        <f t="shared" ca="1" si="258"/>
        <v>#N/A</v>
      </c>
      <c r="AE556" s="324" t="e">
        <f t="shared" ca="1" si="237"/>
        <v>#N/A</v>
      </c>
      <c r="AG556" s="306">
        <f t="shared" ca="1" si="259"/>
        <v>6.648364117993764</v>
      </c>
      <c r="AH556" s="304">
        <f t="shared" ca="1" si="260"/>
        <v>-0.14192842883263224</v>
      </c>
    </row>
    <row r="557" spans="1:34" x14ac:dyDescent="0.2">
      <c r="A557" s="347">
        <f t="shared" ca="1" si="238"/>
        <v>0.1</v>
      </c>
      <c r="B557" s="304">
        <f t="shared" ca="1" si="239"/>
        <v>19.299999999999962</v>
      </c>
      <c r="D557" s="306">
        <f t="shared" ca="1" si="240"/>
        <v>-0.1059100519945015</v>
      </c>
      <c r="E557" s="307">
        <f t="shared" ca="1" si="241"/>
        <v>-9.7010763969294072</v>
      </c>
      <c r="F557" s="304">
        <f t="shared" ca="1" si="242"/>
        <v>9.7016545082874561</v>
      </c>
      <c r="G557" s="306">
        <f t="shared" ca="1" si="243"/>
        <v>14.127184201532753</v>
      </c>
      <c r="H557" s="307">
        <f t="shared" ca="1" si="244"/>
        <v>-15.510157294274631</v>
      </c>
      <c r="I557" s="304">
        <f t="shared" ca="1" si="245"/>
        <v>20.979568936400412</v>
      </c>
      <c r="J557" s="306">
        <f t="shared" ca="1" si="246"/>
        <v>307.61157100527322</v>
      </c>
      <c r="K557" s="307">
        <f t="shared" ca="1" si="247"/>
        <v>1580.5408076893648</v>
      </c>
      <c r="L557" s="304">
        <f t="shared" ca="1" si="232"/>
        <v>1610.1969206863121</v>
      </c>
      <c r="M557" s="306">
        <f t="shared" ca="1" si="248"/>
        <v>-0.83202753518489658</v>
      </c>
      <c r="N557" s="304">
        <f t="shared" ca="1" si="249"/>
        <v>-47.671666204767178</v>
      </c>
      <c r="P557" s="310">
        <f t="shared" ca="1" si="250"/>
        <v>23</v>
      </c>
      <c r="Q557" s="304">
        <f t="shared" ca="1" si="251"/>
        <v>0</v>
      </c>
      <c r="R557" s="306">
        <f t="shared" ca="1" si="252"/>
        <v>0</v>
      </c>
      <c r="S557" s="307">
        <f t="shared" ca="1" si="253"/>
        <v>7.4819999999999904</v>
      </c>
      <c r="T557" s="304">
        <f t="shared" ca="1" si="233"/>
        <v>73.398419999999916</v>
      </c>
      <c r="U557" s="311">
        <f t="shared" ca="1" si="234"/>
        <v>0</v>
      </c>
      <c r="V557" s="306">
        <f t="shared" ca="1" si="235"/>
        <v>1.045564043628638</v>
      </c>
      <c r="W557" s="304">
        <f t="shared" ca="1" si="236"/>
        <v>1.2166304010769766</v>
      </c>
      <c r="Y557" s="314" t="str">
        <f t="shared" ca="1" si="254"/>
        <v/>
      </c>
      <c r="Z557" s="315" t="str">
        <f t="shared" ca="1" si="255"/>
        <v/>
      </c>
      <c r="AA557" s="316" t="str">
        <f t="shared" ca="1" si="256"/>
        <v/>
      </c>
      <c r="AC557" s="310" t="e">
        <f t="shared" ca="1" si="257"/>
        <v>#N/A</v>
      </c>
      <c r="AD557" s="323" t="e">
        <f t="shared" ca="1" si="258"/>
        <v>#N/A</v>
      </c>
      <c r="AE557" s="324" t="e">
        <f t="shared" ca="1" si="237"/>
        <v>#N/A</v>
      </c>
      <c r="AG557" s="306">
        <f t="shared" ca="1" si="259"/>
        <v>6.8814042148131653</v>
      </c>
      <c r="AH557" s="304">
        <f t="shared" ca="1" si="260"/>
        <v>-0.15192527906625111</v>
      </c>
    </row>
    <row r="558" spans="1:34" x14ac:dyDescent="0.2">
      <c r="A558" s="347">
        <f t="shared" ca="1" si="238"/>
        <v>0.1</v>
      </c>
      <c r="B558" s="304">
        <f t="shared" ca="1" si="239"/>
        <v>19.399999999999963</v>
      </c>
      <c r="D558" s="306">
        <f t="shared" ca="1" si="240"/>
        <v>-0.10949644211935788</v>
      </c>
      <c r="E558" s="307">
        <f t="shared" ca="1" si="241"/>
        <v>-9.6897844626213328</v>
      </c>
      <c r="F558" s="304">
        <f t="shared" ca="1" si="242"/>
        <v>9.690403108379682</v>
      </c>
      <c r="G558" s="306">
        <f t="shared" ca="1" si="243"/>
        <v>14.116234557320817</v>
      </c>
      <c r="H558" s="307">
        <f t="shared" ca="1" si="244"/>
        <v>-16.479135740536766</v>
      </c>
      <c r="I558" s="304">
        <f t="shared" ca="1" si="245"/>
        <v>21.698617302315249</v>
      </c>
      <c r="J558" s="306">
        <f t="shared" ca="1" si="246"/>
        <v>309.0237419432159</v>
      </c>
      <c r="K558" s="307">
        <f t="shared" ca="1" si="247"/>
        <v>1578.9413430376242</v>
      </c>
      <c r="L558" s="304">
        <f t="shared" ca="1" si="232"/>
        <v>1608.8975846330443</v>
      </c>
      <c r="M558" s="306">
        <f t="shared" ca="1" si="248"/>
        <v>-0.86247583884597046</v>
      </c>
      <c r="N558" s="304">
        <f t="shared" ca="1" si="249"/>
        <v>-49.416225497879445</v>
      </c>
      <c r="P558" s="310">
        <f t="shared" ca="1" si="250"/>
        <v>23</v>
      </c>
      <c r="Q558" s="304">
        <f t="shared" ca="1" si="251"/>
        <v>0</v>
      </c>
      <c r="R558" s="306">
        <f t="shared" ca="1" si="252"/>
        <v>0</v>
      </c>
      <c r="S558" s="307">
        <f t="shared" ca="1" si="253"/>
        <v>7.4819999999999904</v>
      </c>
      <c r="T558" s="304">
        <f t="shared" ca="1" si="233"/>
        <v>73.398419999999916</v>
      </c>
      <c r="U558" s="311">
        <f t="shared" ca="1" si="234"/>
        <v>0</v>
      </c>
      <c r="V558" s="306">
        <f t="shared" ca="1" si="235"/>
        <v>1.0457323413625059</v>
      </c>
      <c r="W558" s="304">
        <f t="shared" ca="1" si="236"/>
        <v>1.3016660079055846</v>
      </c>
      <c r="Y558" s="314" t="str">
        <f t="shared" ca="1" si="254"/>
        <v/>
      </c>
      <c r="Z558" s="315" t="str">
        <f t="shared" ca="1" si="255"/>
        <v/>
      </c>
      <c r="AA558" s="316" t="str">
        <f t="shared" ca="1" si="256"/>
        <v/>
      </c>
      <c r="AC558" s="310" t="e">
        <f t="shared" ca="1" si="257"/>
        <v>#N/A</v>
      </c>
      <c r="AD558" s="323" t="e">
        <f t="shared" ca="1" si="258"/>
        <v>#N/A</v>
      </c>
      <c r="AE558" s="324" t="e">
        <f t="shared" ca="1" si="237"/>
        <v>#N/A</v>
      </c>
      <c r="AG558" s="306">
        <f t="shared" ca="1" si="259"/>
        <v>7.0899075765835713</v>
      </c>
      <c r="AH558" s="304">
        <f t="shared" ca="1" si="260"/>
        <v>-0.16260764515864451</v>
      </c>
    </row>
    <row r="559" spans="1:34" x14ac:dyDescent="0.2">
      <c r="A559" s="347">
        <f t="shared" ca="1" si="238"/>
        <v>0.1</v>
      </c>
      <c r="B559" s="304">
        <f t="shared" ca="1" si="239"/>
        <v>19.499999999999964</v>
      </c>
      <c r="D559" s="306">
        <f t="shared" ca="1" si="240"/>
        <v>-0.11317973314861147</v>
      </c>
      <c r="E559" s="307">
        <f t="shared" ca="1" si="241"/>
        <v>-9.6778752341454659</v>
      </c>
      <c r="F559" s="304">
        <f t="shared" ca="1" si="242"/>
        <v>9.6785370123630639</v>
      </c>
      <c r="G559" s="306">
        <f t="shared" ca="1" si="243"/>
        <v>14.104916584005956</v>
      </c>
      <c r="H559" s="307">
        <f t="shared" ca="1" si="244"/>
        <v>-17.446923263951312</v>
      </c>
      <c r="I559" s="304">
        <f t="shared" ca="1" si="245"/>
        <v>22.43532489668852</v>
      </c>
      <c r="J559" s="306">
        <f t="shared" ca="1" si="246"/>
        <v>310.43479950028222</v>
      </c>
      <c r="K559" s="307">
        <f t="shared" ca="1" si="247"/>
        <v>1577.2450400873997</v>
      </c>
      <c r="L559" s="304">
        <f t="shared" ca="1" si="232"/>
        <v>1607.5047997505587</v>
      </c>
      <c r="M559" s="306">
        <f t="shared" ca="1" si="248"/>
        <v>-0.89092582360401584</v>
      </c>
      <c r="N559" s="304">
        <f t="shared" ca="1" si="249"/>
        <v>-51.046289551726964</v>
      </c>
      <c r="P559" s="310">
        <f t="shared" ca="1" si="250"/>
        <v>23</v>
      </c>
      <c r="Q559" s="304">
        <f t="shared" ca="1" si="251"/>
        <v>0</v>
      </c>
      <c r="R559" s="306">
        <f t="shared" ca="1" si="252"/>
        <v>0</v>
      </c>
      <c r="S559" s="307">
        <f t="shared" ca="1" si="253"/>
        <v>7.4819999999999904</v>
      </c>
      <c r="T559" s="304">
        <f t="shared" ca="1" si="233"/>
        <v>73.398419999999916</v>
      </c>
      <c r="U559" s="311">
        <f t="shared" ca="1" si="234"/>
        <v>0</v>
      </c>
      <c r="V559" s="306">
        <f t="shared" ca="1" si="235"/>
        <v>1.0459108558096777</v>
      </c>
      <c r="W559" s="304">
        <f t="shared" ca="1" si="236"/>
        <v>1.391791886791016</v>
      </c>
      <c r="Y559" s="314" t="str">
        <f t="shared" ca="1" si="254"/>
        <v/>
      </c>
      <c r="Z559" s="315" t="str">
        <f t="shared" ca="1" si="255"/>
        <v/>
      </c>
      <c r="AA559" s="316" t="str">
        <f t="shared" ca="1" si="256"/>
        <v/>
      </c>
      <c r="AC559" s="310" t="e">
        <f t="shared" ca="1" si="257"/>
        <v>#N/A</v>
      </c>
      <c r="AD559" s="323" t="e">
        <f t="shared" ca="1" si="258"/>
        <v>#N/A</v>
      </c>
      <c r="AE559" s="324" t="e">
        <f t="shared" ca="1" si="237"/>
        <v>#N/A</v>
      </c>
      <c r="AG559" s="306">
        <f t="shared" ca="1" si="259"/>
        <v>7.2762861247548249</v>
      </c>
      <c r="AH559" s="304">
        <f t="shared" ca="1" si="260"/>
        <v>-0.17397300292777149</v>
      </c>
    </row>
    <row r="560" spans="1:34" x14ac:dyDescent="0.2">
      <c r="A560" s="347">
        <f t="shared" ca="1" si="238"/>
        <v>0.1</v>
      </c>
      <c r="B560" s="304">
        <f t="shared" ca="1" si="239"/>
        <v>19.599999999999966</v>
      </c>
      <c r="D560" s="306">
        <f t="shared" ca="1" si="240"/>
        <v>-0.11694852686487195</v>
      </c>
      <c r="E560" s="307">
        <f t="shared" ca="1" si="241"/>
        <v>-9.6653417907939119</v>
      </c>
      <c r="F560" s="304">
        <f t="shared" ca="1" si="242"/>
        <v>9.6660492907290259</v>
      </c>
      <c r="G560" s="306">
        <f t="shared" ca="1" si="243"/>
        <v>14.093221731319469</v>
      </c>
      <c r="H560" s="307">
        <f t="shared" ca="1" si="244"/>
        <v>-18.413457443030705</v>
      </c>
      <c r="I560" s="304">
        <f t="shared" ca="1" si="245"/>
        <v>23.1878052815362</v>
      </c>
      <c r="J560" s="306">
        <f t="shared" ca="1" si="246"/>
        <v>311.8447064160485</v>
      </c>
      <c r="K560" s="307">
        <f t="shared" ca="1" si="247"/>
        <v>1575.4520210520507</v>
      </c>
      <c r="L560" s="304">
        <f t="shared" ca="1" si="232"/>
        <v>1606.0187394786844</v>
      </c>
      <c r="M560" s="306">
        <f t="shared" ca="1" si="248"/>
        <v>-0.91752687129086963</v>
      </c>
      <c r="N560" s="304">
        <f t="shared" ca="1" si="249"/>
        <v>-52.57041731480993</v>
      </c>
      <c r="P560" s="310">
        <f t="shared" ca="1" si="250"/>
        <v>23</v>
      </c>
      <c r="Q560" s="304">
        <f t="shared" ca="1" si="251"/>
        <v>0</v>
      </c>
      <c r="R560" s="306">
        <f t="shared" ca="1" si="252"/>
        <v>0</v>
      </c>
      <c r="S560" s="307">
        <f t="shared" ca="1" si="253"/>
        <v>7.4819999999999904</v>
      </c>
      <c r="T560" s="304">
        <f t="shared" ca="1" si="233"/>
        <v>73.398419999999916</v>
      </c>
      <c r="U560" s="311">
        <f t="shared" ca="1" si="234"/>
        <v>0</v>
      </c>
      <c r="V560" s="306">
        <f t="shared" ca="1" si="235"/>
        <v>1.0460995789190743</v>
      </c>
      <c r="W560" s="304">
        <f t="shared" ca="1" si="236"/>
        <v>1.4869871664481715</v>
      </c>
      <c r="Y560" s="314" t="str">
        <f t="shared" ca="1" si="254"/>
        <v/>
      </c>
      <c r="Z560" s="315" t="str">
        <f t="shared" ca="1" si="255"/>
        <v/>
      </c>
      <c r="AA560" s="316" t="str">
        <f t="shared" ca="1" si="256"/>
        <v/>
      </c>
      <c r="AC560" s="310" t="e">
        <f t="shared" ca="1" si="257"/>
        <v>#N/A</v>
      </c>
      <c r="AD560" s="323" t="e">
        <f t="shared" ca="1" si="258"/>
        <v>#N/A</v>
      </c>
      <c r="AE560" s="324" t="e">
        <f t="shared" ca="1" si="237"/>
        <v>#N/A</v>
      </c>
      <c r="AG560" s="306">
        <f t="shared" ca="1" si="259"/>
        <v>7.4427684063732169</v>
      </c>
      <c r="AH560" s="304">
        <f t="shared" ca="1" si="260"/>
        <v>-0.18601869644360033</v>
      </c>
    </row>
    <row r="561" spans="1:34" x14ac:dyDescent="0.2">
      <c r="A561" s="347">
        <f t="shared" ca="1" si="238"/>
        <v>0.1</v>
      </c>
      <c r="B561" s="304">
        <f t="shared" ca="1" si="239"/>
        <v>19.699999999999967</v>
      </c>
      <c r="D561" s="306">
        <f t="shared" ca="1" si="240"/>
        <v>-0.12079255193812959</v>
      </c>
      <c r="E561" s="307">
        <f t="shared" ca="1" si="241"/>
        <v>-9.6521788461892335</v>
      </c>
      <c r="F561" s="304">
        <f t="shared" ca="1" si="242"/>
        <v>9.6529346480449476</v>
      </c>
      <c r="G561" s="306">
        <f t="shared" ca="1" si="243"/>
        <v>14.081142476125656</v>
      </c>
      <c r="H561" s="307">
        <f t="shared" ca="1" si="244"/>
        <v>-19.378675327649628</v>
      </c>
      <c r="I561" s="304">
        <f t="shared" ca="1" si="245"/>
        <v>23.954365591420004</v>
      </c>
      <c r="J561" s="306">
        <f t="shared" ca="1" si="246"/>
        <v>313.25342462642072</v>
      </c>
      <c r="K561" s="307">
        <f t="shared" ca="1" si="247"/>
        <v>1573.5624144135168</v>
      </c>
      <c r="L561" s="304">
        <f t="shared" ca="1" si="232"/>
        <v>1604.4395844328562</v>
      </c>
      <c r="M561" s="306">
        <f t="shared" ca="1" si="248"/>
        <v>-0.94242001968375355</v>
      </c>
      <c r="N561" s="304">
        <f t="shared" ca="1" si="249"/>
        <v>-53.996689656515045</v>
      </c>
      <c r="P561" s="310">
        <f t="shared" ca="1" si="250"/>
        <v>23</v>
      </c>
      <c r="Q561" s="304">
        <f t="shared" ca="1" si="251"/>
        <v>0</v>
      </c>
      <c r="R561" s="306">
        <f t="shared" ca="1" si="252"/>
        <v>0</v>
      </c>
      <c r="S561" s="307">
        <f t="shared" ca="1" si="253"/>
        <v>7.4819999999999904</v>
      </c>
      <c r="T561" s="304">
        <f t="shared" ca="1" si="233"/>
        <v>73.398419999999916</v>
      </c>
      <c r="U561" s="311">
        <f t="shared" ca="1" si="234"/>
        <v>0</v>
      </c>
      <c r="V561" s="306">
        <f t="shared" ca="1" si="235"/>
        <v>1.0462985022474822</v>
      </c>
      <c r="W561" s="304">
        <f t="shared" ca="1" si="236"/>
        <v>1.5872299660326041</v>
      </c>
      <c r="Y561" s="314" t="str">
        <f t="shared" ca="1" si="254"/>
        <v/>
      </c>
      <c r="Z561" s="315" t="str">
        <f t="shared" ca="1" si="255"/>
        <v/>
      </c>
      <c r="AA561" s="316" t="str">
        <f t="shared" ca="1" si="256"/>
        <v/>
      </c>
      <c r="AC561" s="310" t="e">
        <f t="shared" ca="1" si="257"/>
        <v>#N/A</v>
      </c>
      <c r="AD561" s="323" t="e">
        <f t="shared" ca="1" si="258"/>
        <v>#N/A</v>
      </c>
      <c r="AE561" s="324" t="e">
        <f t="shared" ca="1" si="237"/>
        <v>#N/A</v>
      </c>
      <c r="AG561" s="306">
        <f t="shared" ca="1" si="259"/>
        <v>7.5913880620274377</v>
      </c>
      <c r="AH561" s="304">
        <f t="shared" ca="1" si="260"/>
        <v>-0.1987419361732389</v>
      </c>
    </row>
    <row r="562" spans="1:34" x14ac:dyDescent="0.2">
      <c r="A562" s="347">
        <f t="shared" ca="1" si="238"/>
        <v>0.1</v>
      </c>
      <c r="B562" s="304">
        <f t="shared" ca="1" si="239"/>
        <v>19.799999999999969</v>
      </c>
      <c r="D562" s="306">
        <f t="shared" ca="1" si="240"/>
        <v>-0.12470256013229049</v>
      </c>
      <c r="E562" s="307">
        <f t="shared" ca="1" si="241"/>
        <v>-9.6383825030939345</v>
      </c>
      <c r="F562" s="304">
        <f t="shared" ca="1" si="242"/>
        <v>9.6391891777499019</v>
      </c>
      <c r="G562" s="306">
        <f t="shared" ca="1" si="243"/>
        <v>14.068672220112427</v>
      </c>
      <c r="H562" s="307">
        <f t="shared" ca="1" si="244"/>
        <v>-20.342513577959021</v>
      </c>
      <c r="I562" s="304">
        <f t="shared" ca="1" si="245"/>
        <v>24.733487354322079</v>
      </c>
      <c r="J562" s="306">
        <f t="shared" ca="1" si="246"/>
        <v>314.66091536123264</v>
      </c>
      <c r="K562" s="307">
        <f t="shared" ca="1" si="247"/>
        <v>1571.5763549682363</v>
      </c>
      <c r="L562" s="304">
        <f t="shared" ca="1" si="232"/>
        <v>1602.7675224907748</v>
      </c>
      <c r="M562" s="306">
        <f t="shared" ca="1" si="248"/>
        <v>-0.96573721046407235</v>
      </c>
      <c r="N562" s="304">
        <f t="shared" ca="1" si="249"/>
        <v>-55.332666278328666</v>
      </c>
      <c r="P562" s="310">
        <f t="shared" ca="1" si="250"/>
        <v>23</v>
      </c>
      <c r="Q562" s="304">
        <f t="shared" ca="1" si="251"/>
        <v>0</v>
      </c>
      <c r="R562" s="306">
        <f t="shared" ca="1" si="252"/>
        <v>0</v>
      </c>
      <c r="S562" s="307">
        <f t="shared" ca="1" si="253"/>
        <v>7.4819999999999904</v>
      </c>
      <c r="T562" s="304">
        <f t="shared" ca="1" si="233"/>
        <v>73.398419999999916</v>
      </c>
      <c r="U562" s="311">
        <f t="shared" ca="1" si="234"/>
        <v>0</v>
      </c>
      <c r="V562" s="306">
        <f t="shared" ca="1" si="235"/>
        <v>1.0465076169532976</v>
      </c>
      <c r="W562" s="304">
        <f t="shared" ca="1" si="236"/>
        <v>1.6924973885608534</v>
      </c>
      <c r="Y562" s="314" t="str">
        <f t="shared" ca="1" si="254"/>
        <v/>
      </c>
      <c r="Z562" s="315" t="str">
        <f t="shared" ca="1" si="255"/>
        <v/>
      </c>
      <c r="AA562" s="316" t="str">
        <f t="shared" ca="1" si="256"/>
        <v/>
      </c>
      <c r="AC562" s="310" t="e">
        <f t="shared" ca="1" si="257"/>
        <v>#N/A</v>
      </c>
      <c r="AD562" s="323" t="e">
        <f t="shared" ca="1" si="258"/>
        <v>#N/A</v>
      </c>
      <c r="AE562" s="324" t="e">
        <f t="shared" ca="1" si="237"/>
        <v>#N/A</v>
      </c>
      <c r="AG562" s="306">
        <f t="shared" ca="1" si="259"/>
        <v>7.7239837552227923</v>
      </c>
      <c r="AH562" s="304">
        <f t="shared" ca="1" si="260"/>
        <v>-0.21213979765204574</v>
      </c>
    </row>
    <row r="563" spans="1:34" x14ac:dyDescent="0.2">
      <c r="A563" s="347">
        <f t="shared" ca="1" si="238"/>
        <v>0.1</v>
      </c>
      <c r="B563" s="304">
        <f t="shared" ca="1" si="239"/>
        <v>19.89999999999997</v>
      </c>
      <c r="D563" s="306">
        <f t="shared" ca="1" si="240"/>
        <v>-0.12867022479512594</v>
      </c>
      <c r="E563" s="307">
        <f t="shared" ca="1" si="241"/>
        <v>-9.6239500477357076</v>
      </c>
      <c r="F563" s="304">
        <f t="shared" ca="1" si="242"/>
        <v>9.6248101564685911</v>
      </c>
      <c r="G563" s="306">
        <f t="shared" ca="1" si="243"/>
        <v>14.055805197632914</v>
      </c>
      <c r="H563" s="307">
        <f t="shared" ca="1" si="244"/>
        <v>-21.304908582732594</v>
      </c>
      <c r="I563" s="304">
        <f t="shared" ca="1" si="245"/>
        <v>25.523808287016994</v>
      </c>
      <c r="J563" s="306">
        <f t="shared" ca="1" si="246"/>
        <v>316.06713923211993</v>
      </c>
      <c r="K563" s="307">
        <f t="shared" ca="1" si="247"/>
        <v>1569.4939838602018</v>
      </c>
      <c r="L563" s="304">
        <f t="shared" ca="1" si="232"/>
        <v>1601.0027488657674</v>
      </c>
      <c r="M563" s="306">
        <f t="shared" ca="1" si="248"/>
        <v>-0.98760102279998885</v>
      </c>
      <c r="N563" s="304">
        <f t="shared" ca="1" si="249"/>
        <v>-56.585370449242752</v>
      </c>
      <c r="P563" s="310">
        <f t="shared" ca="1" si="250"/>
        <v>23</v>
      </c>
      <c r="Q563" s="304">
        <f t="shared" ca="1" si="251"/>
        <v>0</v>
      </c>
      <c r="R563" s="306">
        <f t="shared" ca="1" si="252"/>
        <v>0</v>
      </c>
      <c r="S563" s="307">
        <f t="shared" ca="1" si="253"/>
        <v>7.4819999999999904</v>
      </c>
      <c r="T563" s="304">
        <f t="shared" ca="1" si="233"/>
        <v>73.398419999999916</v>
      </c>
      <c r="U563" s="311">
        <f t="shared" ca="1" si="234"/>
        <v>0</v>
      </c>
      <c r="V563" s="306">
        <f t="shared" ca="1" si="235"/>
        <v>1.0467269137915438</v>
      </c>
      <c r="W563" s="304">
        <f t="shared" ca="1" si="236"/>
        <v>1.8027655172119816</v>
      </c>
      <c r="Y563" s="314" t="str">
        <f t="shared" ca="1" si="254"/>
        <v/>
      </c>
      <c r="Z563" s="315" t="str">
        <f t="shared" ca="1" si="255"/>
        <v/>
      </c>
      <c r="AA563" s="316" t="str">
        <f t="shared" ca="1" si="256"/>
        <v/>
      </c>
      <c r="AC563" s="310" t="e">
        <f t="shared" ca="1" si="257"/>
        <v>#N/A</v>
      </c>
      <c r="AD563" s="323" t="e">
        <f t="shared" ca="1" si="258"/>
        <v>#N/A</v>
      </c>
      <c r="AE563" s="324" t="e">
        <f t="shared" ca="1" si="237"/>
        <v>#N/A</v>
      </c>
      <c r="AG563" s="306">
        <f t="shared" ca="1" si="259"/>
        <v>7.8422065001940613</v>
      </c>
      <c r="AH563" s="304">
        <f t="shared" ca="1" si="260"/>
        <v>-0.2262092206042309</v>
      </c>
    </row>
    <row r="564" spans="1:34" x14ac:dyDescent="0.2">
      <c r="A564" s="347">
        <f t="shared" ca="1" si="238"/>
        <v>0.1</v>
      </c>
      <c r="B564" s="304">
        <f t="shared" ca="1" si="239"/>
        <v>19.999999999999972</v>
      </c>
      <c r="D564" s="306">
        <f t="shared" ca="1" si="240"/>
        <v>-0.13268804465310902</v>
      </c>
      <c r="E564" s="307">
        <f t="shared" ca="1" si="241"/>
        <v>-9.6088797780270827</v>
      </c>
      <c r="F564" s="304">
        <f t="shared" ca="1" si="242"/>
        <v>9.6097958722218273</v>
      </c>
      <c r="G564" s="306">
        <f t="shared" ca="1" si="243"/>
        <v>14.042536393167603</v>
      </c>
      <c r="H564" s="307">
        <f t="shared" ca="1" si="244"/>
        <v>-22.265796560535303</v>
      </c>
      <c r="I564" s="304">
        <f t="shared" ca="1" si="245"/>
        <v>26.324105394648882</v>
      </c>
      <c r="J564" s="306">
        <f t="shared" ca="1" si="246"/>
        <v>317.47205631165997</v>
      </c>
      <c r="K564" s="307">
        <f t="shared" ca="1" si="247"/>
        <v>1567.3154486030382</v>
      </c>
      <c r="L564" s="304">
        <f t="shared" ca="1" si="232"/>
        <v>1599.1454661688838</v>
      </c>
      <c r="M564" s="306">
        <f t="shared" ca="1" si="248"/>
        <v>-1.0081247451917918</v>
      </c>
      <c r="N564" s="304">
        <f t="shared" ca="1" si="249"/>
        <v>-57.761293122191205</v>
      </c>
      <c r="P564" s="310">
        <f t="shared" ca="1" si="250"/>
        <v>23</v>
      </c>
      <c r="Q564" s="304">
        <f t="shared" ca="1" si="251"/>
        <v>0</v>
      </c>
      <c r="R564" s="306">
        <f t="shared" ca="1" si="252"/>
        <v>0</v>
      </c>
      <c r="S564" s="307">
        <f t="shared" ca="1" si="253"/>
        <v>7.4819999999999904</v>
      </c>
      <c r="T564" s="304">
        <f t="shared" ca="1" si="233"/>
        <v>73.398419999999916</v>
      </c>
      <c r="U564" s="311">
        <f t="shared" ca="1" si="234"/>
        <v>0</v>
      </c>
      <c r="V564" s="306">
        <f t="shared" ca="1" si="235"/>
        <v>1.0469563831099726</v>
      </c>
      <c r="W564" s="304">
        <f t="shared" ca="1" si="236"/>
        <v>1.918009414106516</v>
      </c>
      <c r="Y564" s="314" t="str">
        <f t="shared" ca="1" si="254"/>
        <v/>
      </c>
      <c r="Z564" s="315" t="str">
        <f t="shared" ca="1" si="255"/>
        <v/>
      </c>
      <c r="AA564" s="316" t="str">
        <f t="shared" ca="1" si="256"/>
        <v/>
      </c>
      <c r="AC564" s="310">
        <f t="shared" ca="1" si="257"/>
        <v>19.999999999999972</v>
      </c>
      <c r="AD564" s="323">
        <f t="shared" ca="1" si="258"/>
        <v>317.47205631165997</v>
      </c>
      <c r="AE564" s="324" t="e">
        <f t="shared" ca="1" si="237"/>
        <v>#N/A</v>
      </c>
      <c r="AG564" s="306">
        <f t="shared" ca="1" si="259"/>
        <v>7.9475314053670756</v>
      </c>
      <c r="AH564" s="304">
        <f t="shared" ca="1" si="260"/>
        <v>-0.24094700844854103</v>
      </c>
    </row>
    <row r="565" spans="1:34" x14ac:dyDescent="0.2">
      <c r="A565" s="347">
        <f t="shared" ca="1" si="238"/>
        <v>0.1</v>
      </c>
      <c r="B565" s="304">
        <f t="shared" ca="1" si="239"/>
        <v>20.099999999999973</v>
      </c>
      <c r="D565" s="306">
        <f t="shared" ca="1" si="240"/>
        <v>-0.13674925460907025</v>
      </c>
      <c r="E565" s="307">
        <f t="shared" ca="1" si="241"/>
        <v>-9.5931708604713428</v>
      </c>
      <c r="F565" s="304">
        <f t="shared" ca="1" si="242"/>
        <v>9.5941454813251923</v>
      </c>
      <c r="G565" s="306">
        <f t="shared" ca="1" si="243"/>
        <v>14.028861467706696</v>
      </c>
      <c r="H565" s="307">
        <f t="shared" ca="1" si="244"/>
        <v>-23.225113646582436</v>
      </c>
      <c r="I565" s="304">
        <f t="shared" ca="1" si="245"/>
        <v>27.13327952859321</v>
      </c>
      <c r="J565" s="306">
        <f t="shared" ca="1" si="246"/>
        <v>318.87562620470368</v>
      </c>
      <c r="K565" s="307">
        <f t="shared" ca="1" si="247"/>
        <v>1565.0409030926824</v>
      </c>
      <c r="L565" s="304">
        <f t="shared" ca="1" si="232"/>
        <v>1597.1958844614524</v>
      </c>
      <c r="M565" s="306">
        <f t="shared" ca="1" si="248"/>
        <v>-1.0274126735342053</v>
      </c>
      <c r="N565" s="304">
        <f t="shared" ca="1" si="249"/>
        <v>-58.866410011762255</v>
      </c>
      <c r="P565" s="310">
        <f t="shared" ca="1" si="250"/>
        <v>23</v>
      </c>
      <c r="Q565" s="304">
        <f t="shared" ca="1" si="251"/>
        <v>0</v>
      </c>
      <c r="R565" s="306">
        <f t="shared" ca="1" si="252"/>
        <v>0</v>
      </c>
      <c r="S565" s="307">
        <f t="shared" ca="1" si="253"/>
        <v>7.4819999999999904</v>
      </c>
      <c r="T565" s="304">
        <f t="shared" ca="1" si="233"/>
        <v>73.398419999999916</v>
      </c>
      <c r="U565" s="311">
        <f t="shared" ca="1" si="234"/>
        <v>0</v>
      </c>
      <c r="V565" s="306">
        <f t="shared" ca="1" si="235"/>
        <v>1.0471960148460846</v>
      </c>
      <c r="W565" s="304">
        <f t="shared" ca="1" si="236"/>
        <v>2.0382031212253664</v>
      </c>
      <c r="Y565" s="314" t="str">
        <f t="shared" ca="1" si="254"/>
        <v/>
      </c>
      <c r="Z565" s="315" t="str">
        <f t="shared" ca="1" si="255"/>
        <v/>
      </c>
      <c r="AA565" s="316" t="str">
        <f t="shared" ca="1" si="256"/>
        <v/>
      </c>
      <c r="AC565" s="310" t="e">
        <f t="shared" ca="1" si="257"/>
        <v>#N/A</v>
      </c>
      <c r="AD565" s="323" t="e">
        <f t="shared" ca="1" si="258"/>
        <v>#N/A</v>
      </c>
      <c r="AE565" s="324" t="e">
        <f t="shared" ca="1" si="237"/>
        <v>#N/A</v>
      </c>
      <c r="AG565" s="306">
        <f t="shared" ca="1" si="259"/>
        <v>8.0412717238304978</v>
      </c>
      <c r="AH565" s="304">
        <f t="shared" ca="1" si="260"/>
        <v>-0.25634982813505997</v>
      </c>
    </row>
    <row r="566" spans="1:34" x14ac:dyDescent="0.2">
      <c r="A566" s="347">
        <f t="shared" ca="1" si="238"/>
        <v>0.1</v>
      </c>
      <c r="B566" s="304">
        <f t="shared" ca="1" si="239"/>
        <v>20.199999999999974</v>
      </c>
      <c r="D566" s="306">
        <f t="shared" ca="1" si="240"/>
        <v>-0.14084774432289204</v>
      </c>
      <c r="E566" s="307">
        <f t="shared" ca="1" si="241"/>
        <v>-9.5768232111141742</v>
      </c>
      <c r="F566" s="304">
        <f t="shared" ca="1" si="242"/>
        <v>9.5778588893351344</v>
      </c>
      <c r="G566" s="306">
        <f t="shared" ca="1" si="243"/>
        <v>14.014776693274406</v>
      </c>
      <c r="H566" s="307">
        <f t="shared" ca="1" si="244"/>
        <v>-24.182795967693853</v>
      </c>
      <c r="I566" s="304">
        <f t="shared" ca="1" si="245"/>
        <v>27.950341439371677</v>
      </c>
      <c r="J566" s="306">
        <f t="shared" ca="1" si="246"/>
        <v>320.27780811275272</v>
      </c>
      <c r="K566" s="307">
        <f t="shared" ca="1" si="247"/>
        <v>1562.6705076119686</v>
      </c>
      <c r="L566" s="304">
        <f t="shared" ca="1" si="232"/>
        <v>1595.1542212995446</v>
      </c>
      <c r="M566" s="306">
        <f t="shared" ca="1" si="248"/>
        <v>-1.0455605521842839</v>
      </c>
      <c r="N566" s="304">
        <f t="shared" ca="1" si="249"/>
        <v>-59.906206865527331</v>
      </c>
      <c r="P566" s="310">
        <f t="shared" ca="1" si="250"/>
        <v>23</v>
      </c>
      <c r="Q566" s="304">
        <f t="shared" ca="1" si="251"/>
        <v>0</v>
      </c>
      <c r="R566" s="306">
        <f t="shared" ca="1" si="252"/>
        <v>0</v>
      </c>
      <c r="S566" s="307">
        <f t="shared" ca="1" si="253"/>
        <v>7.4819999999999904</v>
      </c>
      <c r="T566" s="304">
        <f t="shared" ca="1" si="233"/>
        <v>73.398419999999916</v>
      </c>
      <c r="U566" s="311">
        <f t="shared" ca="1" si="234"/>
        <v>0</v>
      </c>
      <c r="V566" s="306">
        <f t="shared" ca="1" si="235"/>
        <v>1.047445798524919</v>
      </c>
      <c r="W566" s="304">
        <f t="shared" ca="1" si="236"/>
        <v>2.1633196631870306</v>
      </c>
      <c r="Y566" s="314" t="str">
        <f t="shared" ca="1" si="254"/>
        <v/>
      </c>
      <c r="Z566" s="315" t="str">
        <f t="shared" ca="1" si="255"/>
        <v/>
      </c>
      <c r="AA566" s="316" t="str">
        <f t="shared" ca="1" si="256"/>
        <v/>
      </c>
      <c r="AC566" s="310" t="e">
        <f t="shared" ca="1" si="257"/>
        <v>#N/A</v>
      </c>
      <c r="AD566" s="323" t="e">
        <f t="shared" ca="1" si="258"/>
        <v>#N/A</v>
      </c>
      <c r="AE566" s="324" t="e">
        <f t="shared" ca="1" si="237"/>
        <v>#N/A</v>
      </c>
      <c r="AG566" s="306">
        <f t="shared" ca="1" si="259"/>
        <v>8.1245937751793775</v>
      </c>
      <c r="AH566" s="304">
        <f t="shared" ca="1" si="260"/>
        <v>-0.27241421026802581</v>
      </c>
    </row>
    <row r="567" spans="1:34" x14ac:dyDescent="0.2">
      <c r="A567" s="347">
        <f t="shared" ca="1" si="238"/>
        <v>0.1</v>
      </c>
      <c r="B567" s="304">
        <f t="shared" ca="1" si="239"/>
        <v>20.299999999999976</v>
      </c>
      <c r="D567" s="306">
        <f t="shared" ca="1" si="240"/>
        <v>-0.14497798474390869</v>
      </c>
      <c r="E567" s="307">
        <f t="shared" ca="1" si="241"/>
        <v>-9.5598373965136485</v>
      </c>
      <c r="F567" s="304">
        <f t="shared" ca="1" si="242"/>
        <v>9.5609366520148669</v>
      </c>
      <c r="G567" s="306">
        <f t="shared" ca="1" si="243"/>
        <v>14.000278894800015</v>
      </c>
      <c r="H567" s="307">
        <f t="shared" ca="1" si="244"/>
        <v>-25.138779707345218</v>
      </c>
      <c r="I567" s="304">
        <f t="shared" ca="1" si="245"/>
        <v>28.7743992866335</v>
      </c>
      <c r="J567" s="306">
        <f t="shared" ca="1" si="246"/>
        <v>321.67856089215644</v>
      </c>
      <c r="K567" s="307">
        <f t="shared" ca="1" si="247"/>
        <v>1560.2044288282166</v>
      </c>
      <c r="L567" s="304">
        <f t="shared" ca="1" si="232"/>
        <v>1593.0207017715841</v>
      </c>
      <c r="M567" s="306">
        <f t="shared" ca="1" si="248"/>
        <v>-1.062656097589679</v>
      </c>
      <c r="N567" s="304">
        <f t="shared" ca="1" si="249"/>
        <v>-60.885709465730741</v>
      </c>
      <c r="P567" s="310">
        <f t="shared" ca="1" si="250"/>
        <v>23</v>
      </c>
      <c r="Q567" s="304">
        <f t="shared" ca="1" si="251"/>
        <v>0</v>
      </c>
      <c r="R567" s="306">
        <f t="shared" ca="1" si="252"/>
        <v>0</v>
      </c>
      <c r="S567" s="307">
        <f t="shared" ca="1" si="253"/>
        <v>7.4819999999999904</v>
      </c>
      <c r="T567" s="304">
        <f t="shared" ca="1" si="233"/>
        <v>73.398419999999916</v>
      </c>
      <c r="U567" s="311">
        <f t="shared" ca="1" si="234"/>
        <v>0</v>
      </c>
      <c r="V567" s="306">
        <f t="shared" ca="1" si="235"/>
        <v>1.0477057232575193</v>
      </c>
      <c r="W567" s="304">
        <f t="shared" ca="1" si="236"/>
        <v>2.2933310516479906</v>
      </c>
      <c r="Y567" s="314" t="str">
        <f t="shared" ca="1" si="254"/>
        <v/>
      </c>
      <c r="Z567" s="315" t="str">
        <f t="shared" ca="1" si="255"/>
        <v/>
      </c>
      <c r="AA567" s="316" t="str">
        <f t="shared" ca="1" si="256"/>
        <v/>
      </c>
      <c r="AC567" s="310" t="e">
        <f t="shared" ca="1" si="257"/>
        <v>#N/A</v>
      </c>
      <c r="AD567" s="323" t="e">
        <f t="shared" ca="1" si="258"/>
        <v>#N/A</v>
      </c>
      <c r="AE567" s="324" t="e">
        <f t="shared" ca="1" si="237"/>
        <v>#N/A</v>
      </c>
      <c r="AG567" s="306">
        <f t="shared" ca="1" si="259"/>
        <v>8.1985318018263058</v>
      </c>
      <c r="AH567" s="304">
        <f t="shared" ca="1" si="260"/>
        <v>-0.28913654947701595</v>
      </c>
    </row>
    <row r="568" spans="1:34" x14ac:dyDescent="0.2">
      <c r="A568" s="347">
        <f t="shared" ca="1" si="238"/>
        <v>0.1</v>
      </c>
      <c r="B568" s="304">
        <f t="shared" ca="1" si="239"/>
        <v>20.399999999999977</v>
      </c>
      <c r="D568" s="306">
        <f t="shared" ca="1" si="240"/>
        <v>-0.14913496237523982</v>
      </c>
      <c r="E568" s="307">
        <f t="shared" ca="1" si="241"/>
        <v>-9.5422145512967713</v>
      </c>
      <c r="F568" s="304">
        <f t="shared" ca="1" si="242"/>
        <v>9.5433798928881846</v>
      </c>
      <c r="G568" s="306">
        <f t="shared" ca="1" si="243"/>
        <v>13.985365398562491</v>
      </c>
      <c r="H568" s="307">
        <f t="shared" ca="1" si="244"/>
        <v>-26.093001162474895</v>
      </c>
      <c r="I568" s="304">
        <f t="shared" ca="1" si="245"/>
        <v>29.604647523593744</v>
      </c>
      <c r="J568" s="306">
        <f t="shared" ca="1" si="246"/>
        <v>323.07784310682456</v>
      </c>
      <c r="K568" s="307">
        <f t="shared" ca="1" si="247"/>
        <v>1557.6428397847255</v>
      </c>
      <c r="L568" s="304">
        <f t="shared" ca="1" si="232"/>
        <v>1590.7955585301281</v>
      </c>
      <c r="M568" s="306">
        <f t="shared" ca="1" si="248"/>
        <v>-1.0787795615520004</v>
      </c>
      <c r="N568" s="304">
        <f t="shared" ca="1" si="249"/>
        <v>-61.809515901903033</v>
      </c>
      <c r="P568" s="310">
        <f t="shared" ca="1" si="250"/>
        <v>23</v>
      </c>
      <c r="Q568" s="304">
        <f t="shared" ca="1" si="251"/>
        <v>0</v>
      </c>
      <c r="R568" s="306">
        <f t="shared" ca="1" si="252"/>
        <v>0</v>
      </c>
      <c r="S568" s="307">
        <f t="shared" ca="1" si="253"/>
        <v>7.4819999999999904</v>
      </c>
      <c r="T568" s="304">
        <f t="shared" ca="1" si="233"/>
        <v>73.398419999999916</v>
      </c>
      <c r="U568" s="311">
        <f t="shared" ca="1" si="234"/>
        <v>0</v>
      </c>
      <c r="V568" s="306">
        <f t="shared" ca="1" si="235"/>
        <v>1.0479757777399614</v>
      </c>
      <c r="W568" s="304">
        <f t="shared" ca="1" si="236"/>
        <v>2.428208291129712</v>
      </c>
      <c r="Y568" s="314" t="str">
        <f t="shared" ca="1" si="254"/>
        <v/>
      </c>
      <c r="Z568" s="315" t="str">
        <f t="shared" ca="1" si="255"/>
        <v/>
      </c>
      <c r="AA568" s="316" t="str">
        <f t="shared" ca="1" si="256"/>
        <v/>
      </c>
      <c r="AC568" s="310" t="e">
        <f t="shared" ca="1" si="257"/>
        <v>#N/A</v>
      </c>
      <c r="AD568" s="323" t="e">
        <f t="shared" ca="1" si="258"/>
        <v>#N/A</v>
      </c>
      <c r="AE568" s="324" t="e">
        <f t="shared" ca="1" si="237"/>
        <v>#N/A</v>
      </c>
      <c r="AG568" s="306">
        <f t="shared" ca="1" si="259"/>
        <v>8.2640021809079247</v>
      </c>
      <c r="AH568" s="304">
        <f t="shared" ca="1" si="260"/>
        <v>-0.306513105005078</v>
      </c>
    </row>
    <row r="569" spans="1:34" x14ac:dyDescent="0.2">
      <c r="A569" s="347">
        <f t="shared" ca="1" si="238"/>
        <v>0.1</v>
      </c>
      <c r="B569" s="304">
        <f t="shared" ca="1" si="239"/>
        <v>20.499999999999979</v>
      </c>
      <c r="D569" s="306">
        <f t="shared" ca="1" si="240"/>
        <v>-0.15331412081957393</v>
      </c>
      <c r="E569" s="307">
        <f t="shared" ca="1" si="241"/>
        <v>-9.5239563094161177</v>
      </c>
      <c r="F569" s="304">
        <f t="shared" ca="1" si="242"/>
        <v>9.5251902344945183</v>
      </c>
      <c r="G569" s="306">
        <f t="shared" ca="1" si="243"/>
        <v>13.970033986480534</v>
      </c>
      <c r="H569" s="307">
        <f t="shared" ca="1" si="244"/>
        <v>-27.045396793416508</v>
      </c>
      <c r="I569" s="304">
        <f t="shared" ca="1" si="245"/>
        <v>30.440357049429711</v>
      </c>
      <c r="J569" s="306">
        <f t="shared" ca="1" si="246"/>
        <v>324.47561307607668</v>
      </c>
      <c r="K569" s="307">
        <f t="shared" ca="1" si="247"/>
        <v>1554.985919886931</v>
      </c>
      <c r="L569" s="304">
        <f t="shared" ca="1" si="232"/>
        <v>1588.4790318187083</v>
      </c>
      <c r="M569" s="306">
        <f t="shared" ca="1" si="248"/>
        <v>-1.0940043044058883</v>
      </c>
      <c r="N569" s="304">
        <f t="shared" ca="1" si="249"/>
        <v>-62.68182941160277</v>
      </c>
      <c r="P569" s="310">
        <f t="shared" ca="1" si="250"/>
        <v>23</v>
      </c>
      <c r="Q569" s="304">
        <f t="shared" ca="1" si="251"/>
        <v>0</v>
      </c>
      <c r="R569" s="306">
        <f t="shared" ca="1" si="252"/>
        <v>0</v>
      </c>
      <c r="S569" s="307">
        <f t="shared" ca="1" si="253"/>
        <v>7.4819999999999904</v>
      </c>
      <c r="T569" s="304">
        <f t="shared" ca="1" si="233"/>
        <v>73.398419999999916</v>
      </c>
      <c r="U569" s="311">
        <f t="shared" ca="1" si="234"/>
        <v>0</v>
      </c>
      <c r="V569" s="306">
        <f t="shared" ca="1" si="235"/>
        <v>1.0482559502528794</v>
      </c>
      <c r="W569" s="304">
        <f t="shared" ca="1" si="236"/>
        <v>2.5679213861076122</v>
      </c>
      <c r="Y569" s="314" t="str">
        <f t="shared" ca="1" si="254"/>
        <v/>
      </c>
      <c r="Z569" s="315" t="str">
        <f t="shared" ca="1" si="255"/>
        <v/>
      </c>
      <c r="AA569" s="316" t="str">
        <f t="shared" ca="1" si="256"/>
        <v/>
      </c>
      <c r="AC569" s="310" t="e">
        <f t="shared" ca="1" si="257"/>
        <v>#N/A</v>
      </c>
      <c r="AD569" s="323" t="e">
        <f t="shared" ca="1" si="258"/>
        <v>#N/A</v>
      </c>
      <c r="AE569" s="324" t="e">
        <f t="shared" ca="1" si="237"/>
        <v>#N/A</v>
      </c>
      <c r="AG569" s="306">
        <f t="shared" ca="1" si="259"/>
        <v>8.3218166626098462</v>
      </c>
      <c r="AH569" s="304">
        <f t="shared" ca="1" si="260"/>
        <v>-0.32454000148753209</v>
      </c>
    </row>
    <row r="570" spans="1:34" x14ac:dyDescent="0.2">
      <c r="A570" s="347">
        <f t="shared" ca="1" si="238"/>
        <v>0.1</v>
      </c>
      <c r="B570" s="304">
        <f t="shared" ca="1" si="239"/>
        <v>20.59999999999998</v>
      </c>
      <c r="D570" s="306">
        <f t="shared" ca="1" si="240"/>
        <v>-0.15751130903357036</v>
      </c>
      <c r="E570" s="307">
        <f t="shared" ca="1" si="241"/>
        <v>-9.505064746700981</v>
      </c>
      <c r="F570" s="304">
        <f t="shared" ca="1" si="242"/>
        <v>9.506369740939558</v>
      </c>
      <c r="G570" s="306">
        <f t="shared" ca="1" si="243"/>
        <v>13.954282855577176</v>
      </c>
      <c r="H570" s="307">
        <f t="shared" ca="1" si="244"/>
        <v>-27.995903268086607</v>
      </c>
      <c r="I570" s="304">
        <f t="shared" ca="1" si="245"/>
        <v>31.280866513086199</v>
      </c>
      <c r="J570" s="306">
        <f t="shared" ca="1" si="246"/>
        <v>325.87182891817957</v>
      </c>
      <c r="K570" s="307">
        <f t="shared" ca="1" si="247"/>
        <v>1552.2338548838559</v>
      </c>
      <c r="L570" s="304">
        <f t="shared" ca="1" si="232"/>
        <v>1586.0713694944734</v>
      </c>
      <c r="M570" s="306">
        <f t="shared" ca="1" si="248"/>
        <v>-1.1083973581727353</v>
      </c>
      <c r="N570" s="304">
        <f t="shared" ca="1" si="249"/>
        <v>-63.506490646747977</v>
      </c>
      <c r="P570" s="310">
        <f t="shared" ca="1" si="250"/>
        <v>23</v>
      </c>
      <c r="Q570" s="304">
        <f t="shared" ca="1" si="251"/>
        <v>0</v>
      </c>
      <c r="R570" s="306">
        <f t="shared" ca="1" si="252"/>
        <v>0</v>
      </c>
      <c r="S570" s="307">
        <f t="shared" ca="1" si="253"/>
        <v>7.4819999999999904</v>
      </c>
      <c r="T570" s="304">
        <f t="shared" ca="1" si="233"/>
        <v>73.398419999999916</v>
      </c>
      <c r="U570" s="311">
        <f t="shared" ca="1" si="234"/>
        <v>0</v>
      </c>
      <c r="V570" s="306">
        <f t="shared" ca="1" si="235"/>
        <v>1.0485462286614122</v>
      </c>
      <c r="W570" s="304">
        <f t="shared" ca="1" si="236"/>
        <v>2.7124393492235668</v>
      </c>
      <c r="Y570" s="314" t="str">
        <f t="shared" ca="1" si="254"/>
        <v/>
      </c>
      <c r="Z570" s="315" t="str">
        <f t="shared" ca="1" si="255"/>
        <v/>
      </c>
      <c r="AA570" s="316" t="str">
        <f t="shared" ca="1" si="256"/>
        <v/>
      </c>
      <c r="AC570" s="310" t="e">
        <f t="shared" ca="1" si="257"/>
        <v>#N/A</v>
      </c>
      <c r="AD570" s="323" t="e">
        <f t="shared" ca="1" si="258"/>
        <v>#N/A</v>
      </c>
      <c r="AE570" s="324" t="e">
        <f t="shared" ca="1" si="237"/>
        <v>#N/A</v>
      </c>
      <c r="AG570" s="306">
        <f t="shared" ca="1" si="259"/>
        <v>8.3726944748817864</v>
      </c>
      <c r="AH570" s="304">
        <f t="shared" ca="1" si="260"/>
        <v>-0.34321322989944075</v>
      </c>
    </row>
    <row r="571" spans="1:34" x14ac:dyDescent="0.2">
      <c r="A571" s="347">
        <f t="shared" ca="1" si="238"/>
        <v>0.1</v>
      </c>
      <c r="B571" s="304">
        <f t="shared" ca="1" si="239"/>
        <v>20.699999999999982</v>
      </c>
      <c r="D571" s="306">
        <f t="shared" ca="1" si="240"/>
        <v>-0.16172273566786219</v>
      </c>
      <c r="E571" s="307">
        <f t="shared" ca="1" si="241"/>
        <v>-9.4855423327112618</v>
      </c>
      <c r="F571" s="304">
        <f t="shared" ca="1" si="242"/>
        <v>9.486920869749536</v>
      </c>
      <c r="G571" s="306">
        <f t="shared" ca="1" si="243"/>
        <v>13.93811058201039</v>
      </c>
      <c r="H571" s="307">
        <f t="shared" ca="1" si="244"/>
        <v>-28.944457501357732</v>
      </c>
      <c r="I571" s="304">
        <f t="shared" ca="1" si="245"/>
        <v>32.125574650802029</v>
      </c>
      <c r="J571" s="306">
        <f t="shared" ca="1" si="246"/>
        <v>327.26644859005893</v>
      </c>
      <c r="K571" s="307">
        <f t="shared" ca="1" si="247"/>
        <v>1549.3868368453836</v>
      </c>
      <c r="L571" s="304">
        <f t="shared" ca="1" si="232"/>
        <v>1583.5728270472732</v>
      </c>
      <c r="M571" s="306">
        <f t="shared" ca="1" si="248"/>
        <v>-1.1220199668708342</v>
      </c>
      <c r="N571" s="304">
        <f t="shared" ca="1" si="249"/>
        <v>-64.287008631107241</v>
      </c>
      <c r="P571" s="310">
        <f t="shared" ca="1" si="250"/>
        <v>23</v>
      </c>
      <c r="Q571" s="304">
        <f t="shared" ca="1" si="251"/>
        <v>0</v>
      </c>
      <c r="R571" s="306">
        <f t="shared" ca="1" si="252"/>
        <v>0</v>
      </c>
      <c r="S571" s="307">
        <f t="shared" ca="1" si="253"/>
        <v>7.4819999999999904</v>
      </c>
      <c r="T571" s="304">
        <f t="shared" ca="1" si="233"/>
        <v>73.398419999999916</v>
      </c>
      <c r="U571" s="311">
        <f t="shared" ca="1" si="234"/>
        <v>0</v>
      </c>
      <c r="V571" s="306">
        <f t="shared" ca="1" si="235"/>
        <v>1.0488466004155279</v>
      </c>
      <c r="W571" s="304">
        <f t="shared" ca="1" si="236"/>
        <v>2.861730210505224</v>
      </c>
      <c r="Y571" s="314" t="str">
        <f t="shared" ca="1" si="254"/>
        <v/>
      </c>
      <c r="Z571" s="315" t="str">
        <f t="shared" ca="1" si="255"/>
        <v/>
      </c>
      <c r="AA571" s="316" t="str">
        <f t="shared" ca="1" si="256"/>
        <v/>
      </c>
      <c r="AC571" s="310" t="e">
        <f t="shared" ca="1" si="257"/>
        <v>#N/A</v>
      </c>
      <c r="AD571" s="323" t="e">
        <f t="shared" ca="1" si="258"/>
        <v>#N/A</v>
      </c>
      <c r="AE571" s="324" t="e">
        <f t="shared" ca="1" si="237"/>
        <v>#N/A</v>
      </c>
      <c r="AG571" s="306">
        <f t="shared" ca="1" si="259"/>
        <v>8.417273245422658</v>
      </c>
      <c r="AH571" s="304">
        <f t="shared" ca="1" si="260"/>
        <v>-0.3625286486532438</v>
      </c>
    </row>
    <row r="572" spans="1:34" x14ac:dyDescent="0.2">
      <c r="A572" s="347">
        <f t="shared" ca="1" si="238"/>
        <v>0.1</v>
      </c>
      <c r="B572" s="304">
        <f t="shared" ca="1" si="239"/>
        <v>20.799999999999983</v>
      </c>
      <c r="D572" s="306">
        <f t="shared" ca="1" si="240"/>
        <v>-0.16594492886581313</v>
      </c>
      <c r="E572" s="307">
        <f t="shared" ca="1" si="241"/>
        <v>-9.4653918902522047</v>
      </c>
      <c r="F572" s="304">
        <f t="shared" ca="1" si="242"/>
        <v>9.4668464313871947</v>
      </c>
      <c r="G572" s="306">
        <f t="shared" ca="1" si="243"/>
        <v>13.921516089123809</v>
      </c>
      <c r="H572" s="307">
        <f t="shared" ca="1" si="244"/>
        <v>-29.890996690382952</v>
      </c>
      <c r="I572" s="304">
        <f t="shared" ca="1" si="245"/>
        <v>32.973933544001355</v>
      </c>
      <c r="J572" s="306">
        <f t="shared" ca="1" si="246"/>
        <v>328.65942992361562</v>
      </c>
      <c r="K572" s="307">
        <f t="shared" ca="1" si="247"/>
        <v>1546.4450641357967</v>
      </c>
      <c r="L572" s="304">
        <f t="shared" ca="1" si="232"/>
        <v>1580.9836676157297</v>
      </c>
      <c r="M572" s="306">
        <f t="shared" ca="1" si="248"/>
        <v>-1.1349280962688102</v>
      </c>
      <c r="N572" s="304">
        <f t="shared" ca="1" si="249"/>
        <v>-65.026589967020016</v>
      </c>
      <c r="P572" s="310">
        <f t="shared" ca="1" si="250"/>
        <v>23</v>
      </c>
      <c r="Q572" s="304">
        <f t="shared" ca="1" si="251"/>
        <v>0</v>
      </c>
      <c r="R572" s="306">
        <f t="shared" ca="1" si="252"/>
        <v>0</v>
      </c>
      <c r="S572" s="307">
        <f t="shared" ca="1" si="253"/>
        <v>7.4819999999999904</v>
      </c>
      <c r="T572" s="304">
        <f t="shared" ca="1" si="233"/>
        <v>73.398419999999916</v>
      </c>
      <c r="U572" s="311">
        <f t="shared" ca="1" si="234"/>
        <v>0</v>
      </c>
      <c r="V572" s="306">
        <f t="shared" ca="1" si="235"/>
        <v>1.0491570525506702</v>
      </c>
      <c r="W572" s="304">
        <f t="shared" ca="1" si="236"/>
        <v>3.0157610274931175</v>
      </c>
      <c r="Y572" s="314" t="str">
        <f t="shared" ca="1" si="254"/>
        <v/>
      </c>
      <c r="Z572" s="315" t="str">
        <f t="shared" ca="1" si="255"/>
        <v/>
      </c>
      <c r="AA572" s="316" t="str">
        <f t="shared" ca="1" si="256"/>
        <v/>
      </c>
      <c r="AC572" s="310" t="e">
        <f t="shared" ca="1" si="257"/>
        <v>#N/A</v>
      </c>
      <c r="AD572" s="323" t="e">
        <f t="shared" ca="1" si="258"/>
        <v>#N/A</v>
      </c>
      <c r="AE572" s="324" t="e">
        <f t="shared" ca="1" si="237"/>
        <v>#N/A</v>
      </c>
      <c r="AG572" s="306">
        <f t="shared" ca="1" si="259"/>
        <v>8.4561187616067581</v>
      </c>
      <c r="AH572" s="304">
        <f t="shared" ca="1" si="260"/>
        <v>-0.38248198483095797</v>
      </c>
    </row>
    <row r="573" spans="1:34" x14ac:dyDescent="0.2">
      <c r="A573" s="347">
        <f t="shared" ca="1" si="238"/>
        <v>0.1</v>
      </c>
      <c r="B573" s="304">
        <f t="shared" ca="1" si="239"/>
        <v>20.899999999999984</v>
      </c>
      <c r="D573" s="306">
        <f t="shared" ca="1" si="240"/>
        <v>-0.17017470091867157</v>
      </c>
      <c r="E573" s="307">
        <f t="shared" ca="1" si="241"/>
        <v>-9.4446165612004798</v>
      </c>
      <c r="F573" s="304">
        <f t="shared" ca="1" si="242"/>
        <v>9.4461495550798436</v>
      </c>
      <c r="G573" s="306">
        <f t="shared" ca="1" si="243"/>
        <v>13.904498619031942</v>
      </c>
      <c r="H573" s="307">
        <f t="shared" ca="1" si="244"/>
        <v>-30.835458346503</v>
      </c>
      <c r="I573" s="304">
        <f t="shared" ca="1" si="245"/>
        <v>33.82544269164238</v>
      </c>
      <c r="J573" s="306">
        <f t="shared" ca="1" si="246"/>
        <v>330.05073065902343</v>
      </c>
      <c r="K573" s="307">
        <f t="shared" ca="1" si="247"/>
        <v>1543.4087413839522</v>
      </c>
      <c r="L573" s="304">
        <f t="shared" ca="1" si="232"/>
        <v>1578.3041620007693</v>
      </c>
      <c r="M573" s="306">
        <f t="shared" ca="1" si="248"/>
        <v>-1.1471729089651161</v>
      </c>
      <c r="N573" s="304">
        <f t="shared" ca="1" si="249"/>
        <v>-65.72816605544655</v>
      </c>
      <c r="P573" s="310">
        <f t="shared" ca="1" si="250"/>
        <v>23</v>
      </c>
      <c r="Q573" s="304">
        <f t="shared" ca="1" si="251"/>
        <v>0</v>
      </c>
      <c r="R573" s="306">
        <f t="shared" ca="1" si="252"/>
        <v>0</v>
      </c>
      <c r="S573" s="307">
        <f t="shared" ca="1" si="253"/>
        <v>7.4819999999999904</v>
      </c>
      <c r="T573" s="304">
        <f t="shared" ca="1" si="233"/>
        <v>73.398419999999916</v>
      </c>
      <c r="U573" s="311">
        <f t="shared" ca="1" si="234"/>
        <v>0</v>
      </c>
      <c r="V573" s="306">
        <f t="shared" ca="1" si="235"/>
        <v>1.0494775716886962</v>
      </c>
      <c r="W573" s="304">
        <f t="shared" ca="1" si="236"/>
        <v>3.1744978961912333</v>
      </c>
      <c r="Y573" s="314" t="str">
        <f t="shared" ca="1" si="254"/>
        <v/>
      </c>
      <c r="Z573" s="315" t="str">
        <f t="shared" ca="1" si="255"/>
        <v/>
      </c>
      <c r="AA573" s="316" t="str">
        <f t="shared" ca="1" si="256"/>
        <v/>
      </c>
      <c r="AC573" s="310" t="e">
        <f t="shared" ca="1" si="257"/>
        <v>#N/A</v>
      </c>
      <c r="AD573" s="323" t="e">
        <f t="shared" ca="1" si="258"/>
        <v>#N/A</v>
      </c>
      <c r="AE573" s="324" t="e">
        <f t="shared" ca="1" si="237"/>
        <v>#N/A</v>
      </c>
      <c r="AG573" s="306">
        <f t="shared" ca="1" si="259"/>
        <v>8.4897336304271569</v>
      </c>
      <c r="AH573" s="304">
        <f t="shared" ca="1" si="260"/>
        <v>-0.40306883553770667</v>
      </c>
    </row>
    <row r="574" spans="1:34" x14ac:dyDescent="0.2">
      <c r="A574" s="347">
        <f t="shared" ca="1" si="238"/>
        <v>0.1</v>
      </c>
      <c r="B574" s="304">
        <f t="shared" ca="1" si="239"/>
        <v>20.999999999999986</v>
      </c>
      <c r="D574" s="306">
        <f t="shared" ca="1" si="240"/>
        <v>-0.17440911721530844</v>
      </c>
      <c r="E574" s="307">
        <f t="shared" ca="1" si="241"/>
        <v>-9.4232197775343138</v>
      </c>
      <c r="F574" s="304">
        <f t="shared" ca="1" si="242"/>
        <v>9.4248336598521281</v>
      </c>
      <c r="G574" s="306">
        <f t="shared" ca="1" si="243"/>
        <v>13.887057707310412</v>
      </c>
      <c r="H574" s="307">
        <f t="shared" ca="1" si="244"/>
        <v>-31.77778032425643</v>
      </c>
      <c r="I574" s="304">
        <f t="shared" ca="1" si="245"/>
        <v>34.679643800115201</v>
      </c>
      <c r="J574" s="306">
        <f t="shared" ca="1" si="246"/>
        <v>331.44030847534054</v>
      </c>
      <c r="K574" s="307">
        <f t="shared" ca="1" si="247"/>
        <v>1540.2780794504142</v>
      </c>
      <c r="L574" s="304">
        <f t="shared" ca="1" si="232"/>
        <v>1575.534588677026</v>
      </c>
      <c r="M574" s="306">
        <f t="shared" ca="1" si="248"/>
        <v>-1.158801203158603</v>
      </c>
      <c r="N574" s="304">
        <f t="shared" ca="1" si="249"/>
        <v>-66.394418235669832</v>
      </c>
      <c r="P574" s="310">
        <f t="shared" ca="1" si="250"/>
        <v>23</v>
      </c>
      <c r="Q574" s="304">
        <f t="shared" ca="1" si="251"/>
        <v>0</v>
      </c>
      <c r="R574" s="306">
        <f t="shared" ca="1" si="252"/>
        <v>0</v>
      </c>
      <c r="S574" s="307">
        <f t="shared" ca="1" si="253"/>
        <v>7.4819999999999904</v>
      </c>
      <c r="T574" s="304">
        <f t="shared" ca="1" si="233"/>
        <v>73.398419999999916</v>
      </c>
      <c r="U574" s="311">
        <f t="shared" ca="1" si="234"/>
        <v>0</v>
      </c>
      <c r="V574" s="306">
        <f t="shared" ca="1" si="235"/>
        <v>1.0498081440390672</v>
      </c>
      <c r="W574" s="304">
        <f t="shared" ca="1" si="236"/>
        <v>3.337905962768728</v>
      </c>
      <c r="Y574" s="314" t="str">
        <f t="shared" ca="1" si="254"/>
        <v/>
      </c>
      <c r="Z574" s="315" t="str">
        <f t="shared" ca="1" si="255"/>
        <v/>
      </c>
      <c r="AA574" s="316" t="str">
        <f t="shared" ca="1" si="256"/>
        <v/>
      </c>
      <c r="AC574" s="310">
        <f t="shared" ca="1" si="257"/>
        <v>20.999999999999986</v>
      </c>
      <c r="AD574" s="323">
        <f t="shared" ca="1" si="258"/>
        <v>331.44030847534054</v>
      </c>
      <c r="AE574" s="324" t="e">
        <f t="shared" ca="1" si="237"/>
        <v>#N/A</v>
      </c>
      <c r="AG574" s="306">
        <f t="shared" ca="1" si="259"/>
        <v>8.518564922783133</v>
      </c>
      <c r="AH574" s="304">
        <f t="shared" ca="1" si="260"/>
        <v>-0.4242846693653084</v>
      </c>
    </row>
    <row r="575" spans="1:34" x14ac:dyDescent="0.2">
      <c r="A575" s="347">
        <f t="shared" ca="1" si="238"/>
        <v>0.1</v>
      </c>
      <c r="B575" s="304">
        <f t="shared" ca="1" si="239"/>
        <v>21.099999999999987</v>
      </c>
      <c r="D575" s="306">
        <f t="shared" ca="1" si="240"/>
        <v>-0.17864546897312492</v>
      </c>
      <c r="E575" s="307">
        <f t="shared" ca="1" si="241"/>
        <v>-9.4012052366597949</v>
      </c>
      <c r="F575" s="304">
        <f t="shared" ca="1" si="242"/>
        <v>9.4029024298555921</v>
      </c>
      <c r="G575" s="306">
        <f t="shared" ca="1" si="243"/>
        <v>13.869193160413099</v>
      </c>
      <c r="H575" s="307">
        <f t="shared" ca="1" si="244"/>
        <v>-32.717900847922408</v>
      </c>
      <c r="I575" s="304">
        <f t="shared" ca="1" si="245"/>
        <v>35.536116203312531</v>
      </c>
      <c r="J575" s="306">
        <f t="shared" ca="1" si="246"/>
        <v>332.82812101872673</v>
      </c>
      <c r="K575" s="307">
        <f t="shared" ca="1" si="247"/>
        <v>1537.0532953918052</v>
      </c>
      <c r="L575" s="304">
        <f t="shared" ca="1" si="232"/>
        <v>1572.6752338024733</v>
      </c>
      <c r="M575" s="306">
        <f t="shared" ca="1" si="248"/>
        <v>-1.169855815145636</v>
      </c>
      <c r="N575" s="304">
        <f t="shared" ca="1" si="249"/>
        <v>-67.027800846681544</v>
      </c>
      <c r="P575" s="310">
        <f t="shared" ca="1" si="250"/>
        <v>23</v>
      </c>
      <c r="Q575" s="304">
        <f t="shared" ca="1" si="251"/>
        <v>0</v>
      </c>
      <c r="R575" s="306">
        <f t="shared" ca="1" si="252"/>
        <v>0</v>
      </c>
      <c r="S575" s="307">
        <f t="shared" ca="1" si="253"/>
        <v>7.4819999999999904</v>
      </c>
      <c r="T575" s="304">
        <f t="shared" ca="1" si="233"/>
        <v>73.398419999999916</v>
      </c>
      <c r="U575" s="311">
        <f t="shared" ca="1" si="234"/>
        <v>0</v>
      </c>
      <c r="V575" s="306">
        <f t="shared" ca="1" si="235"/>
        <v>1.0501487554002724</v>
      </c>
      <c r="W575" s="304">
        <f t="shared" ca="1" si="236"/>
        <v>3.5059494359504049</v>
      </c>
      <c r="Y575" s="314" t="str">
        <f t="shared" ca="1" si="254"/>
        <v/>
      </c>
      <c r="Z575" s="315" t="str">
        <f t="shared" ca="1" si="255"/>
        <v/>
      </c>
      <c r="AA575" s="316" t="str">
        <f t="shared" ca="1" si="256"/>
        <v/>
      </c>
      <c r="AC575" s="310" t="e">
        <f t="shared" ca="1" si="257"/>
        <v>#N/A</v>
      </c>
      <c r="AD575" s="323" t="e">
        <f t="shared" ca="1" si="258"/>
        <v>#N/A</v>
      </c>
      <c r="AE575" s="324" t="e">
        <f t="shared" ca="1" si="237"/>
        <v>#N/A</v>
      </c>
      <c r="AG575" s="306">
        <f t="shared" ca="1" si="259"/>
        <v>8.5430108960940583</v>
      </c>
      <c r="AH575" s="304">
        <f t="shared" ca="1" si="260"/>
        <v>-0.4461248279562593</v>
      </c>
    </row>
    <row r="576" spans="1:34" x14ac:dyDescent="0.2">
      <c r="A576" s="347">
        <f t="shared" ca="1" si="238"/>
        <v>0.1</v>
      </c>
      <c r="B576" s="304">
        <f t="shared" ca="1" si="239"/>
        <v>21.199999999999989</v>
      </c>
      <c r="D576" s="306">
        <f t="shared" ca="1" si="240"/>
        <v>-0.18288124928768959</v>
      </c>
      <c r="E576" s="307">
        <f t="shared" ca="1" si="241"/>
        <v>-9.3785768802890779</v>
      </c>
      <c r="F576" s="304">
        <f t="shared" ca="1" si="242"/>
        <v>9.3803597932506744</v>
      </c>
      <c r="G576" s="306">
        <f t="shared" ca="1" si="243"/>
        <v>13.850905035484329</v>
      </c>
      <c r="H576" s="307">
        <f t="shared" ca="1" si="244"/>
        <v>-33.655758535951314</v>
      </c>
      <c r="I576" s="304">
        <f t="shared" ca="1" si="245"/>
        <v>36.394472834927349</v>
      </c>
      <c r="J576" s="306">
        <f t="shared" ca="1" si="246"/>
        <v>334.21412592852158</v>
      </c>
      <c r="K576" s="307">
        <f t="shared" ca="1" si="247"/>
        <v>1533.7346124226115</v>
      </c>
      <c r="L576" s="304">
        <f t="shared" ca="1" si="232"/>
        <v>1569.726391226606</v>
      </c>
      <c r="M576" s="306">
        <f t="shared" ca="1" si="248"/>
        <v>-1.1803759866649139</v>
      </c>
      <c r="N576" s="304">
        <f t="shared" ca="1" si="249"/>
        <v>-67.630562274489904</v>
      </c>
      <c r="P576" s="310">
        <f t="shared" ca="1" si="250"/>
        <v>23</v>
      </c>
      <c r="Q576" s="304">
        <f t="shared" ca="1" si="251"/>
        <v>0</v>
      </c>
      <c r="R576" s="306">
        <f t="shared" ca="1" si="252"/>
        <v>0</v>
      </c>
      <c r="S576" s="307">
        <f t="shared" ca="1" si="253"/>
        <v>7.4819999999999904</v>
      </c>
      <c r="T576" s="304">
        <f t="shared" ca="1" si="233"/>
        <v>73.398419999999916</v>
      </c>
      <c r="U576" s="311">
        <f t="shared" ca="1" si="234"/>
        <v>0</v>
      </c>
      <c r="V576" s="306">
        <f t="shared" ca="1" si="235"/>
        <v>1.0504993911614551</v>
      </c>
      <c r="W576" s="304">
        <f t="shared" ca="1" si="236"/>
        <v>3.6785916000417362</v>
      </c>
      <c r="Y576" s="314" t="str">
        <f t="shared" ca="1" si="254"/>
        <v/>
      </c>
      <c r="Z576" s="315" t="str">
        <f t="shared" ca="1" si="255"/>
        <v/>
      </c>
      <c r="AA576" s="316" t="str">
        <f t="shared" ca="1" si="256"/>
        <v/>
      </c>
      <c r="AC576" s="310" t="e">
        <f t="shared" ca="1" si="257"/>
        <v>#N/A</v>
      </c>
      <c r="AD576" s="323" t="e">
        <f t="shared" ca="1" si="258"/>
        <v>#N/A</v>
      </c>
      <c r="AE576" s="324" t="e">
        <f t="shared" ca="1" si="237"/>
        <v>#N/A</v>
      </c>
      <c r="AG576" s="306">
        <f t="shared" ca="1" si="259"/>
        <v>8.5634268908587234</v>
      </c>
      <c r="AH576" s="304">
        <f t="shared" ca="1" si="260"/>
        <v>-0.46858452765977138</v>
      </c>
    </row>
    <row r="577" spans="1:34" x14ac:dyDescent="0.2">
      <c r="A577" s="347">
        <f t="shared" ca="1" si="238"/>
        <v>0.1</v>
      </c>
      <c r="B577" s="304">
        <f t="shared" ca="1" si="239"/>
        <v>21.29999999999999</v>
      </c>
      <c r="D577" s="306">
        <f t="shared" ca="1" si="240"/>
        <v>-0.18711413208892588</v>
      </c>
      <c r="E577" s="307">
        <f t="shared" ca="1" si="241"/>
        <v>-9.3553388762600243</v>
      </c>
      <c r="F577" s="304">
        <f t="shared" ca="1" si="242"/>
        <v>9.3572099040306647</v>
      </c>
      <c r="G577" s="306">
        <f t="shared" ca="1" si="243"/>
        <v>13.832193622275437</v>
      </c>
      <c r="H577" s="307">
        <f t="shared" ca="1" si="244"/>
        <v>-34.591292423577315</v>
      </c>
      <c r="I577" s="304">
        <f t="shared" ca="1" si="245"/>
        <v>37.254356683984689</v>
      </c>
      <c r="J577" s="306">
        <f t="shared" ca="1" si="246"/>
        <v>335.59828086140959</v>
      </c>
      <c r="K577" s="307">
        <f t="shared" ca="1" si="247"/>
        <v>1530.3222598746349</v>
      </c>
      <c r="L577" s="304">
        <f t="shared" ca="1" si="232"/>
        <v>1566.6883624974507</v>
      </c>
      <c r="M577" s="306">
        <f t="shared" ca="1" si="248"/>
        <v>-1.1903976988808951</v>
      </c>
      <c r="N577" s="304">
        <f t="shared" ca="1" si="249"/>
        <v>-68.204764087960328</v>
      </c>
      <c r="P577" s="310">
        <f t="shared" ca="1" si="250"/>
        <v>23</v>
      </c>
      <c r="Q577" s="304">
        <f t="shared" ca="1" si="251"/>
        <v>0</v>
      </c>
      <c r="R577" s="306">
        <f t="shared" ca="1" si="252"/>
        <v>0</v>
      </c>
      <c r="S577" s="307">
        <f t="shared" ca="1" si="253"/>
        <v>7.4819999999999904</v>
      </c>
      <c r="T577" s="304">
        <f t="shared" ca="1" si="233"/>
        <v>73.398419999999916</v>
      </c>
      <c r="U577" s="311">
        <f t="shared" ca="1" si="234"/>
        <v>0</v>
      </c>
      <c r="V577" s="306">
        <f t="shared" ca="1" si="235"/>
        <v>1.0508600363042273</v>
      </c>
      <c r="W577" s="304">
        <f t="shared" ca="1" si="236"/>
        <v>3.8557948285409789</v>
      </c>
      <c r="Y577" s="314" t="str">
        <f t="shared" ca="1" si="254"/>
        <v/>
      </c>
      <c r="Z577" s="315" t="str">
        <f t="shared" ca="1" si="255"/>
        <v/>
      </c>
      <c r="AA577" s="316" t="str">
        <f t="shared" ca="1" si="256"/>
        <v/>
      </c>
      <c r="AC577" s="310" t="e">
        <f t="shared" ca="1" si="257"/>
        <v>#N/A</v>
      </c>
      <c r="AD577" s="323" t="e">
        <f t="shared" ca="1" si="258"/>
        <v>#N/A</v>
      </c>
      <c r="AE577" s="324" t="e">
        <f t="shared" ca="1" si="237"/>
        <v>#N/A</v>
      </c>
      <c r="AG577" s="306">
        <f t="shared" ca="1" si="259"/>
        <v>8.5801304935337193</v>
      </c>
      <c r="AH577" s="304">
        <f t="shared" ca="1" si="260"/>
        <v>-0.49165886127261976</v>
      </c>
    </row>
    <row r="578" spans="1:34" x14ac:dyDescent="0.2">
      <c r="A578" s="347">
        <f t="shared" ca="1" si="238"/>
        <v>0.1</v>
      </c>
      <c r="B578" s="304">
        <f t="shared" ca="1" si="239"/>
        <v>21.399999999999991</v>
      </c>
      <c r="D578" s="306">
        <f t="shared" ca="1" si="240"/>
        <v>-0.19134195363926745</v>
      </c>
      <c r="E578" s="307">
        <f t="shared" ca="1" si="241"/>
        <v>-9.3314956027961049</v>
      </c>
      <c r="F578" s="304">
        <f t="shared" ca="1" si="242"/>
        <v>9.3334571262863548</v>
      </c>
      <c r="G578" s="306">
        <f t="shared" ca="1" si="243"/>
        <v>13.81305942691151</v>
      </c>
      <c r="H578" s="307">
        <f t="shared" ca="1" si="244"/>
        <v>-35.524441983856924</v>
      </c>
      <c r="I578" s="304">
        <f t="shared" ca="1" si="245"/>
        <v>38.115437672887943</v>
      </c>
      <c r="J578" s="306">
        <f t="shared" ca="1" si="246"/>
        <v>336.98054351386895</v>
      </c>
      <c r="K578" s="307">
        <f t="shared" ca="1" si="247"/>
        <v>1526.8164731542631</v>
      </c>
      <c r="L578" s="304">
        <f t="shared" ca="1" si="232"/>
        <v>1563.5614568676619</v>
      </c>
      <c r="M578" s="306">
        <f t="shared" ca="1" si="248"/>
        <v>-1.1999539751746262</v>
      </c>
      <c r="N578" s="304">
        <f t="shared" ca="1" si="249"/>
        <v>-68.752298387452043</v>
      </c>
      <c r="P578" s="310">
        <f t="shared" ca="1" si="250"/>
        <v>23</v>
      </c>
      <c r="Q578" s="304">
        <f t="shared" ca="1" si="251"/>
        <v>0</v>
      </c>
      <c r="R578" s="306">
        <f t="shared" ca="1" si="252"/>
        <v>0</v>
      </c>
      <c r="S578" s="307">
        <f t="shared" ca="1" si="253"/>
        <v>7.4819999999999904</v>
      </c>
      <c r="T578" s="304">
        <f t="shared" ca="1" si="233"/>
        <v>73.398419999999916</v>
      </c>
      <c r="U578" s="311">
        <f t="shared" ca="1" si="234"/>
        <v>0</v>
      </c>
      <c r="V578" s="306">
        <f t="shared" ca="1" si="235"/>
        <v>1.0512306754046559</v>
      </c>
      <c r="W578" s="304">
        <f t="shared" ca="1" si="236"/>
        <v>4.0375205982965214</v>
      </c>
      <c r="Y578" s="314" t="str">
        <f t="shared" ca="1" si="254"/>
        <v/>
      </c>
      <c r="Z578" s="315" t="str">
        <f t="shared" ca="1" si="255"/>
        <v/>
      </c>
      <c r="AA578" s="316" t="str">
        <f t="shared" ca="1" si="256"/>
        <v/>
      </c>
      <c r="AC578" s="310" t="e">
        <f t="shared" ca="1" si="257"/>
        <v>#N/A</v>
      </c>
      <c r="AD578" s="323" t="e">
        <f t="shared" ca="1" si="258"/>
        <v>#N/A</v>
      </c>
      <c r="AE578" s="324" t="e">
        <f t="shared" ca="1" si="237"/>
        <v>#N/A</v>
      </c>
      <c r="AG578" s="306">
        <f t="shared" ca="1" si="259"/>
        <v>8.5934060520891826</v>
      </c>
      <c r="AH578" s="304">
        <f t="shared" ca="1" si="260"/>
        <v>-0.5153427998584581</v>
      </c>
    </row>
    <row r="579" spans="1:34" x14ac:dyDescent="0.2">
      <c r="A579" s="347">
        <f t="shared" ca="1" si="238"/>
        <v>0.1</v>
      </c>
      <c r="B579" s="304">
        <f t="shared" ca="1" si="239"/>
        <v>21.499999999999993</v>
      </c>
      <c r="D579" s="306">
        <f t="shared" ca="1" si="240"/>
        <v>-0.19556269625311859</v>
      </c>
      <c r="E579" s="307">
        <f t="shared" ca="1" si="241"/>
        <v>-9.3070516347945738</v>
      </c>
      <c r="F579" s="304">
        <f t="shared" ca="1" si="242"/>
        <v>9.3091060204993976</v>
      </c>
      <c r="G579" s="306">
        <f t="shared" ca="1" si="243"/>
        <v>13.793503157286198</v>
      </c>
      <c r="H579" s="307">
        <f t="shared" ca="1" si="244"/>
        <v>-36.455147147336383</v>
      </c>
      <c r="I579" s="304">
        <f t="shared" ca="1" si="245"/>
        <v>38.97740990476423</v>
      </c>
      <c r="J579" s="306">
        <f t="shared" ca="1" si="246"/>
        <v>338.36087164307884</v>
      </c>
      <c r="K579" s="307">
        <f t="shared" ca="1" si="247"/>
        <v>1523.2174936977035</v>
      </c>
      <c r="L579" s="304">
        <f t="shared" ca="1" si="232"/>
        <v>1560.3459912999353</v>
      </c>
      <c r="M579" s="306">
        <f t="shared" ca="1" si="248"/>
        <v>-1.2090751550873748</v>
      </c>
      <c r="N579" s="304">
        <f t="shared" ca="1" si="249"/>
        <v>-69.27490350063205</v>
      </c>
      <c r="P579" s="310">
        <f t="shared" ca="1" si="250"/>
        <v>23</v>
      </c>
      <c r="Q579" s="304">
        <f t="shared" ca="1" si="251"/>
        <v>0</v>
      </c>
      <c r="R579" s="306">
        <f t="shared" ca="1" si="252"/>
        <v>0</v>
      </c>
      <c r="S579" s="307">
        <f t="shared" ca="1" si="253"/>
        <v>7.4819999999999904</v>
      </c>
      <c r="T579" s="304">
        <f t="shared" ca="1" si="233"/>
        <v>73.398419999999916</v>
      </c>
      <c r="U579" s="311">
        <f t="shared" ca="1" si="234"/>
        <v>0</v>
      </c>
      <c r="V579" s="306">
        <f t="shared" ca="1" si="235"/>
        <v>1.0516112926354011</v>
      </c>
      <c r="W579" s="304">
        <f t="shared" ca="1" si="236"/>
        <v>4.2237295041722316</v>
      </c>
      <c r="Y579" s="314" t="str">
        <f t="shared" ca="1" si="254"/>
        <v/>
      </c>
      <c r="Z579" s="315" t="str">
        <f t="shared" ca="1" si="255"/>
        <v/>
      </c>
      <c r="AA579" s="316" t="str">
        <f t="shared" ca="1" si="256"/>
        <v/>
      </c>
      <c r="AC579" s="310" t="e">
        <f t="shared" ca="1" si="257"/>
        <v>#N/A</v>
      </c>
      <c r="AD579" s="323" t="e">
        <f t="shared" ca="1" si="258"/>
        <v>#N/A</v>
      </c>
      <c r="AE579" s="324" t="e">
        <f t="shared" ca="1" si="237"/>
        <v>#N/A</v>
      </c>
      <c r="AG579" s="306">
        <f t="shared" ca="1" si="259"/>
        <v>8.6035086232067108</v>
      </c>
      <c r="AH579" s="304">
        <f t="shared" ca="1" si="260"/>
        <v>-0.5396311946400062</v>
      </c>
    </row>
    <row r="580" spans="1:34" x14ac:dyDescent="0.2">
      <c r="A580" s="347">
        <f t="shared" ca="1" si="238"/>
        <v>0.1</v>
      </c>
      <c r="B580" s="304">
        <f t="shared" ca="1" si="239"/>
        <v>21.599999999999994</v>
      </c>
      <c r="D580" s="306">
        <f t="shared" ca="1" si="240"/>
        <v>-0.19977447395673117</v>
      </c>
      <c r="E580" s="307">
        <f t="shared" ca="1" si="241"/>
        <v>-9.2820117318038005</v>
      </c>
      <c r="F580" s="304">
        <f t="shared" ca="1" si="242"/>
        <v>9.2841613315252154</v>
      </c>
      <c r="G580" s="306">
        <f t="shared" ca="1" si="243"/>
        <v>13.773525709890524</v>
      </c>
      <c r="H580" s="307">
        <f t="shared" ca="1" si="244"/>
        <v>-37.383348320516767</v>
      </c>
      <c r="I580" s="304">
        <f t="shared" ca="1" si="245"/>
        <v>39.839989233609224</v>
      </c>
      <c r="J580" s="306">
        <f t="shared" ca="1" si="246"/>
        <v>339.73922308643768</v>
      </c>
      <c r="K580" s="307">
        <f t="shared" ca="1" si="247"/>
        <v>1519.5255689243108</v>
      </c>
      <c r="L580" s="304">
        <f t="shared" ref="L580:L643" ca="1" si="261">SQRT(pos_x^2+pos_z^2)</f>
        <v>1557.0422904719469</v>
      </c>
      <c r="M580" s="306">
        <f t="shared" ca="1" si="248"/>
        <v>-1.2177891418031304</v>
      </c>
      <c r="N580" s="304">
        <f t="shared" ca="1" si="249"/>
        <v>-69.774178162177904</v>
      </c>
      <c r="P580" s="310">
        <f t="shared" ca="1" si="250"/>
        <v>23</v>
      </c>
      <c r="Q580" s="304">
        <f t="shared" ca="1" si="251"/>
        <v>0</v>
      </c>
      <c r="R580" s="306">
        <f t="shared" ca="1" si="252"/>
        <v>0</v>
      </c>
      <c r="S580" s="307">
        <f t="shared" ca="1" si="253"/>
        <v>7.4819999999999904</v>
      </c>
      <c r="T580" s="304">
        <f t="shared" ref="T580:T643" ca="1" si="262">m*g</f>
        <v>73.398419999999916</v>
      </c>
      <c r="U580" s="311">
        <f t="shared" ref="U580:U643" ca="1" si="263">IF(pos_xz&lt;L_rampe,Poids*COS(Beta),0)</f>
        <v>0</v>
      </c>
      <c r="V580" s="306">
        <f t="shared" ref="V580:V643" ca="1" si="264">Rho_moyen*(20000-Alt_rampe-pos_z)/(20000+Alt_rampe+pos_z)</f>
        <v>1.0520018717680006</v>
      </c>
      <c r="W580" s="304">
        <f t="shared" ref="W580:W643" ca="1" si="265">1/2*Rho*Sref*Cx*vit_xz^2</f>
        <v>4.4143812741873969</v>
      </c>
      <c r="Y580" s="314" t="str">
        <f t="shared" ca="1" si="254"/>
        <v/>
      </c>
      <c r="Z580" s="315" t="str">
        <f t="shared" ca="1" si="255"/>
        <v/>
      </c>
      <c r="AA580" s="316" t="str">
        <f t="shared" ca="1" si="256"/>
        <v/>
      </c>
      <c r="AC580" s="310" t="e">
        <f t="shared" ca="1" si="257"/>
        <v>#N/A</v>
      </c>
      <c r="AD580" s="323" t="e">
        <f t="shared" ca="1" si="258"/>
        <v>#N/A</v>
      </c>
      <c r="AE580" s="324" t="e">
        <f t="shared" ref="AE580:AE643" ca="1" si="266">IF(t&lt;T_para, pos_z, NA())</f>
        <v>#N/A</v>
      </c>
      <c r="AG580" s="306">
        <f t="shared" ca="1" si="259"/>
        <v>8.6106674222065145</v>
      </c>
      <c r="AH580" s="304">
        <f t="shared" ca="1" si="260"/>
        <v>-0.56451877895913349</v>
      </c>
    </row>
    <row r="581" spans="1:34" x14ac:dyDescent="0.2">
      <c r="A581" s="347">
        <f t="shared" ref="A581:A644" ca="1" si="267">IF(B580+0.01&lt;=T_ini+ROUNDUP(Temps_fin_propu,0), 0.01, IF(K580&gt;0, 0.1, 0.0001))</f>
        <v>0.1</v>
      </c>
      <c r="B581" s="304">
        <f t="shared" ref="B581:B644" ca="1" si="268">B580+pas</f>
        <v>21.699999999999996</v>
      </c>
      <c r="D581" s="306">
        <f t="shared" ref="D581:D644" ca="1" si="269">IF(AND(L580&lt;L_rampe,Poussee&lt;Poids*SIN(M580)),0,(-W580+Poussee)/m*COS(M580)-U580/m*SIN(M580))</f>
        <v>-0.20397551984317652</v>
      </c>
      <c r="E581" s="307">
        <f t="shared" ref="E581:E644" ca="1" si="270">IF(AND(L580&lt;L_rampe,Poussee&lt;Poids*SIN(M580)),0,(-W580+Poussee)/m*SIN(M580)+U580/m*COS(M580)-Poids/m)</f>
        <v>-9.2563808274100534</v>
      </c>
      <c r="F581" s="304">
        <f t="shared" ref="F581:F644" ca="1" si="271">SQRT(acc_x^2+acc_z^2)</f>
        <v>9.2586279779857072</v>
      </c>
      <c r="G581" s="306">
        <f t="shared" ref="G581:G644" ca="1" si="272">G580+acc_x*pas</f>
        <v>13.753128157906207</v>
      </c>
      <c r="H581" s="307">
        <f t="shared" ref="H581:H644" ca="1" si="273">H580+acc_z*pas</f>
        <v>-38.308986403257769</v>
      </c>
      <c r="I581" s="304">
        <f t="shared" ref="I581:I644" ca="1" si="274">SQRT(vit_x^2+vit_z^2)</f>
        <v>40.702911116685272</v>
      </c>
      <c r="J581" s="306">
        <f t="shared" ref="J581:J644" ca="1" si="275">J580+0.5*(vit_x+G580)*pas*(K580&gt;=0)</f>
        <v>341.1155557798275</v>
      </c>
      <c r="K581" s="307">
        <f t="shared" ref="K581:K644" ca="1" si="276">K580+0.5*(vit_z+H580)*pas</f>
        <v>1515.740952188122</v>
      </c>
      <c r="L581" s="304">
        <f t="shared" ca="1" si="261"/>
        <v>1553.6506867810201</v>
      </c>
      <c r="M581" s="306">
        <f t="shared" ref="M581:M644" ca="1" si="277">IF(AND(L580&gt;L_rampe,G581&gt;0),ATAN2(G581,H581),$M$4)</f>
        <v>-1.2261216255075904</v>
      </c>
      <c r="N581" s="304">
        <f t="shared" ref="N581:N644" ca="1" si="278">DEGREES(Beta)</f>
        <v>-70.251594311304999</v>
      </c>
      <c r="P581" s="310">
        <f t="shared" ref="P581:P644" ca="1" si="279">MATCH(t-pas/2-T_ini,CdP_t)</f>
        <v>23</v>
      </c>
      <c r="Q581" s="304">
        <f t="shared" ref="Q581:Q644" ca="1" si="280">(INDEX(CdP,2,i_P+1)-INDEX(CdP,2,i_P+0))/(INDEX(CdP,1,i_P+1)-INDEX(CdP,1,i_P+0))*(t-pas/2-T_ini-INDEX(CdP,1,i_P+0))+INDEX(CdP,2,i_P+0)</f>
        <v>0</v>
      </c>
      <c r="R581" s="306">
        <f t="shared" ref="R581:R644" ca="1" si="281">Poussee/(g*ISP)</f>
        <v>0</v>
      </c>
      <c r="S581" s="307">
        <f t="shared" ref="S581:S644" ca="1" si="282">S580-Débit*pas</f>
        <v>7.4819999999999904</v>
      </c>
      <c r="T581" s="304">
        <f t="shared" ca="1" si="262"/>
        <v>73.398419999999916</v>
      </c>
      <c r="U581" s="311">
        <f t="shared" ca="1" si="263"/>
        <v>0</v>
      </c>
      <c r="V581" s="306">
        <f t="shared" ca="1" si="264"/>
        <v>1.052402396175288</v>
      </c>
      <c r="W581" s="304">
        <f t="shared" ca="1" si="265"/>
        <v>4.6094347851011097</v>
      </c>
      <c r="Y581" s="314" t="str">
        <f t="shared" ref="Y581:Y644" ca="1" si="283">IF(AND(pos_z&lt;=0,K580&gt;0),"Impact balistique","") &amp; IF(AND(H582&lt;0,vit_z&gt;=0),"Apogée","") &amp; IF(AND(Poussee=0,Q580&gt;0),"Fin de propulsion","") &amp; IF(AND(L582&gt;L_rampe,pos_xz&lt;=L_rampe),"Sortie de rampe","")</f>
        <v/>
      </c>
      <c r="Z581" s="315" t="str">
        <f t="shared" ref="Z581:Z644" ca="1" si="284">IF(ABS(t-T_para)&lt;pas/2,"Para","")</f>
        <v/>
      </c>
      <c r="AA581" s="316" t="str">
        <f t="shared" ref="AA581:AA644" ca="1" si="285">IF(ABS(t-T_satellite)&lt;pas/2,"Satellite","")</f>
        <v/>
      </c>
      <c r="AC581" s="310" t="e">
        <f t="shared" ref="AC581:AC644" ca="1" si="286">IF(ABS(t-ROUND(t,0))&lt;0.001,t,NA())</f>
        <v>#N/A</v>
      </c>
      <c r="AD581" s="323" t="e">
        <f t="shared" ref="AD581:AD644" ca="1" si="287">IF(ABS(t-ROUND(t,0))&lt;0.001,pos_x,NA())</f>
        <v>#N/A</v>
      </c>
      <c r="AE581" s="324" t="e">
        <f t="shared" ca="1" si="266"/>
        <v>#N/A</v>
      </c>
      <c r="AG581" s="306">
        <f t="shared" ref="AG581:AG644" ca="1" si="288">IF(AND(L580&lt;L_rampe,Poussee&lt;Poids*SIN(M580)),0,(-W580+Poussee)/m-Poids*SIN(M580)/m)</f>
        <v>8.6150888389831319</v>
      </c>
      <c r="AH581" s="304">
        <f t="shared" ref="AH581:AH644" ca="1" si="289">IF(AND(L580&lt;L_rampe,Poussee&lt;Poids*SIN(M580)), g*SIN(M580), (-W580+Poussee)/m)</f>
        <v>-0.59000017030037455</v>
      </c>
    </row>
    <row r="582" spans="1:34" x14ac:dyDescent="0.2">
      <c r="A582" s="347">
        <f t="shared" ca="1" si="267"/>
        <v>0.1</v>
      </c>
      <c r="B582" s="304">
        <f t="shared" ca="1" si="268"/>
        <v>21.799999999999997</v>
      </c>
      <c r="D582" s="306">
        <f t="shared" ca="1" si="269"/>
        <v>-0.20816417490858907</v>
      </c>
      <c r="E582" s="307">
        <f t="shared" ca="1" si="270"/>
        <v>-9.2301640198027091</v>
      </c>
      <c r="F582" s="304">
        <f t="shared" ca="1" si="271"/>
        <v>9.2325110428407218</v>
      </c>
      <c r="G582" s="306">
        <f t="shared" ca="1" si="272"/>
        <v>13.732311740415348</v>
      </c>
      <c r="H582" s="307">
        <f t="shared" ca="1" si="273"/>
        <v>-39.232002805238039</v>
      </c>
      <c r="I582" s="304">
        <f t="shared" ca="1" si="274"/>
        <v>41.565928713865574</v>
      </c>
      <c r="J582" s="306">
        <f t="shared" ca="1" si="275"/>
        <v>342.48982777474356</v>
      </c>
      <c r="K582" s="307">
        <f t="shared" ca="1" si="276"/>
        <v>1511.8639027276972</v>
      </c>
      <c r="L582" s="304">
        <f t="shared" ca="1" si="261"/>
        <v>1550.1715203486992</v>
      </c>
      <c r="M582" s="306">
        <f t="shared" ca="1" si="277"/>
        <v>-1.2340962848568611</v>
      </c>
      <c r="N582" s="304">
        <f t="shared" ca="1" si="278"/>
        <v>-70.708508635072747</v>
      </c>
      <c r="P582" s="310">
        <f t="shared" ca="1" si="279"/>
        <v>23</v>
      </c>
      <c r="Q582" s="304">
        <f t="shared" ca="1" si="280"/>
        <v>0</v>
      </c>
      <c r="R582" s="306">
        <f t="shared" ca="1" si="281"/>
        <v>0</v>
      </c>
      <c r="S582" s="307">
        <f t="shared" ca="1" si="282"/>
        <v>7.4819999999999904</v>
      </c>
      <c r="T582" s="304">
        <f t="shared" ca="1" si="262"/>
        <v>73.398419999999916</v>
      </c>
      <c r="U582" s="311">
        <f t="shared" ca="1" si="263"/>
        <v>0</v>
      </c>
      <c r="V582" s="306">
        <f t="shared" ca="1" si="264"/>
        <v>1.0528128488339319</v>
      </c>
      <c r="W582" s="304">
        <f t="shared" ca="1" si="265"/>
        <v>4.8088480784135115</v>
      </c>
      <c r="Y582" s="314" t="str">
        <f t="shared" ca="1" si="283"/>
        <v/>
      </c>
      <c r="Z582" s="315" t="str">
        <f t="shared" ca="1" si="284"/>
        <v/>
      </c>
      <c r="AA582" s="316" t="str">
        <f t="shared" ca="1" si="285"/>
        <v/>
      </c>
      <c r="AC582" s="310" t="e">
        <f t="shared" ca="1" si="286"/>
        <v>#N/A</v>
      </c>
      <c r="AD582" s="323" t="e">
        <f t="shared" ca="1" si="287"/>
        <v>#N/A</v>
      </c>
      <c r="AE582" s="324" t="e">
        <f t="shared" ca="1" si="266"/>
        <v>#N/A</v>
      </c>
      <c r="AG582" s="306">
        <f t="shared" ca="1" si="288"/>
        <v>8.6169590758161334</v>
      </c>
      <c r="AH582" s="304">
        <f t="shared" ca="1" si="289"/>
        <v>-0.61606987237384603</v>
      </c>
    </row>
    <row r="583" spans="1:34" x14ac:dyDescent="0.2">
      <c r="A583" s="347">
        <f t="shared" ca="1" si="267"/>
        <v>0.1</v>
      </c>
      <c r="B583" s="304">
        <f t="shared" ca="1" si="268"/>
        <v>21.9</v>
      </c>
      <c r="D583" s="306">
        <f t="shared" ca="1" si="269"/>
        <v>-0.21233887818355709</v>
      </c>
      <c r="E583" s="307">
        <f t="shared" ca="1" si="270"/>
        <v>-9.2033665633266164</v>
      </c>
      <c r="F583" s="304">
        <f t="shared" ca="1" si="271"/>
        <v>9.2058157649469958</v>
      </c>
      <c r="G583" s="306">
        <f t="shared" ca="1" si="272"/>
        <v>13.711077852596992</v>
      </c>
      <c r="H583" s="307">
        <f t="shared" ca="1" si="273"/>
        <v>-40.152339461570698</v>
      </c>
      <c r="I583" s="304">
        <f t="shared" ca="1" si="274"/>
        <v>42.428811203204631</v>
      </c>
      <c r="J583" s="306">
        <f t="shared" ca="1" si="275"/>
        <v>343.86199725439417</v>
      </c>
      <c r="K583" s="307">
        <f t="shared" ca="1" si="276"/>
        <v>1507.8946856143568</v>
      </c>
      <c r="L583" s="304">
        <f t="shared" ca="1" si="261"/>
        <v>1546.6051390254079</v>
      </c>
      <c r="M583" s="306">
        <f t="shared" ca="1" si="277"/>
        <v>-1.2417349686520163</v>
      </c>
      <c r="N583" s="304">
        <f t="shared" ca="1" si="278"/>
        <v>-71.146172977570117</v>
      </c>
      <c r="P583" s="310">
        <f t="shared" ca="1" si="279"/>
        <v>23</v>
      </c>
      <c r="Q583" s="304">
        <f t="shared" ca="1" si="280"/>
        <v>0</v>
      </c>
      <c r="R583" s="306">
        <f t="shared" ca="1" si="281"/>
        <v>0</v>
      </c>
      <c r="S583" s="307">
        <f t="shared" ca="1" si="282"/>
        <v>7.4819999999999904</v>
      </c>
      <c r="T583" s="304">
        <f t="shared" ca="1" si="262"/>
        <v>73.398419999999916</v>
      </c>
      <c r="U583" s="311">
        <f t="shared" ca="1" si="263"/>
        <v>0</v>
      </c>
      <c r="V583" s="306">
        <f t="shared" ca="1" si="264"/>
        <v>1.0532332123270929</v>
      </c>
      <c r="W583" s="304">
        <f t="shared" ca="1" si="265"/>
        <v>5.0125783767586451</v>
      </c>
      <c r="Y583" s="314" t="str">
        <f t="shared" ca="1" si="283"/>
        <v/>
      </c>
      <c r="Z583" s="315" t="str">
        <f t="shared" ca="1" si="284"/>
        <v/>
      </c>
      <c r="AA583" s="316" t="str">
        <f t="shared" ca="1" si="285"/>
        <v/>
      </c>
      <c r="AC583" s="310" t="e">
        <f t="shared" ca="1" si="286"/>
        <v>#N/A</v>
      </c>
      <c r="AD583" s="323" t="e">
        <f t="shared" ca="1" si="287"/>
        <v>#N/A</v>
      </c>
      <c r="AE583" s="324" t="e">
        <f t="shared" ca="1" si="266"/>
        <v>#N/A</v>
      </c>
      <c r="AG583" s="306">
        <f t="shared" ca="1" si="288"/>
        <v>8.6164464560794283</v>
      </c>
      <c r="AH583" s="304">
        <f t="shared" ca="1" si="289"/>
        <v>-0.64272227725387832</v>
      </c>
    </row>
    <row r="584" spans="1:34" x14ac:dyDescent="0.2">
      <c r="A584" s="347">
        <f t="shared" ca="1" si="267"/>
        <v>0.1</v>
      </c>
      <c r="B584" s="304">
        <f t="shared" ca="1" si="268"/>
        <v>22</v>
      </c>
      <c r="D584" s="306">
        <f t="shared" ca="1" si="269"/>
        <v>-0.21649815799777786</v>
      </c>
      <c r="E584" s="307">
        <f t="shared" ca="1" si="270"/>
        <v>-9.1759938608630218</v>
      </c>
      <c r="F584" s="304">
        <f t="shared" ca="1" si="271"/>
        <v>9.1785475314459362</v>
      </c>
      <c r="G584" s="306">
        <f t="shared" ca="1" si="272"/>
        <v>13.689428036797214</v>
      </c>
      <c r="H584" s="307">
        <f t="shared" ca="1" si="273"/>
        <v>-41.069938847656999</v>
      </c>
      <c r="I584" s="304">
        <f t="shared" ca="1" si="274"/>
        <v>43.291342286015286</v>
      </c>
      <c r="J584" s="306">
        <f t="shared" ca="1" si="275"/>
        <v>345.23202254886388</v>
      </c>
      <c r="K584" s="307">
        <f t="shared" ca="1" si="276"/>
        <v>1503.8335716988954</v>
      </c>
      <c r="L584" s="304">
        <f t="shared" ca="1" si="261"/>
        <v>1542.9518983953571</v>
      </c>
      <c r="M584" s="306">
        <f t="shared" ca="1" si="277"/>
        <v>-1.2490578596619231</v>
      </c>
      <c r="N584" s="304">
        <f t="shared" ca="1" si="278"/>
        <v>-71.565743726272061</v>
      </c>
      <c r="P584" s="310">
        <f t="shared" ca="1" si="279"/>
        <v>23</v>
      </c>
      <c r="Q584" s="304">
        <f t="shared" ca="1" si="280"/>
        <v>0</v>
      </c>
      <c r="R584" s="306">
        <f t="shared" ca="1" si="281"/>
        <v>0</v>
      </c>
      <c r="S584" s="307">
        <f t="shared" ca="1" si="282"/>
        <v>7.4819999999999904</v>
      </c>
      <c r="T584" s="304">
        <f t="shared" ca="1" si="262"/>
        <v>73.398419999999916</v>
      </c>
      <c r="U584" s="311">
        <f t="shared" ca="1" si="263"/>
        <v>0</v>
      </c>
      <c r="V584" s="306">
        <f t="shared" ca="1" si="264"/>
        <v>1.0536634688471871</v>
      </c>
      <c r="W584" s="304">
        <f t="shared" ca="1" si="265"/>
        <v>5.2205821006654451</v>
      </c>
      <c r="Y584" s="314" t="str">
        <f t="shared" ca="1" si="283"/>
        <v/>
      </c>
      <c r="Z584" s="315" t="str">
        <f t="shared" ca="1" si="284"/>
        <v/>
      </c>
      <c r="AA584" s="316" t="str">
        <f t="shared" ca="1" si="285"/>
        <v/>
      </c>
      <c r="AC584" s="310">
        <f t="shared" ca="1" si="286"/>
        <v>22</v>
      </c>
      <c r="AD584" s="323">
        <f t="shared" ca="1" si="287"/>
        <v>345.23202254886388</v>
      </c>
      <c r="AE584" s="324" t="e">
        <f t="shared" ca="1" si="266"/>
        <v>#N/A</v>
      </c>
      <c r="AG584" s="306">
        <f t="shared" ca="1" si="288"/>
        <v>8.6137034466760092</v>
      </c>
      <c r="AH584" s="304">
        <f t="shared" ca="1" si="289"/>
        <v>-0.66995166756998814</v>
      </c>
    </row>
    <row r="585" spans="1:34" x14ac:dyDescent="0.2">
      <c r="A585" s="347">
        <f t="shared" ca="1" si="267"/>
        <v>0.1</v>
      </c>
      <c r="B585" s="304">
        <f t="shared" ca="1" si="268"/>
        <v>22.1</v>
      </c>
      <c r="D585" s="306">
        <f t="shared" ca="1" si="269"/>
        <v>-0.22064062423721542</v>
      </c>
      <c r="E585" s="307">
        <f t="shared" ca="1" si="270"/>
        <v>-9.1480514569072255</v>
      </c>
      <c r="F585" s="304">
        <f t="shared" ca="1" si="271"/>
        <v>9.1507118708484203</v>
      </c>
      <c r="G585" s="306">
        <f t="shared" ca="1" si="272"/>
        <v>13.667363974373492</v>
      </c>
      <c r="H585" s="307">
        <f t="shared" ca="1" si="273"/>
        <v>-41.98474399334772</v>
      </c>
      <c r="I585" s="304">
        <f t="shared" ca="1" si="274"/>
        <v>44.153318858212117</v>
      </c>
      <c r="J585" s="306">
        <f t="shared" ca="1" si="275"/>
        <v>346.59986214942239</v>
      </c>
      <c r="K585" s="307">
        <f t="shared" ca="1" si="276"/>
        <v>1499.6808375568451</v>
      </c>
      <c r="L585" s="304">
        <f t="shared" ca="1" si="261"/>
        <v>1539.2121617818639</v>
      </c>
      <c r="M585" s="306">
        <f t="shared" ca="1" si="277"/>
        <v>-1.2560836223772247</v>
      </c>
      <c r="N585" s="304">
        <f t="shared" ca="1" si="278"/>
        <v>-71.96829027771922</v>
      </c>
      <c r="P585" s="310">
        <f t="shared" ca="1" si="279"/>
        <v>23</v>
      </c>
      <c r="Q585" s="304">
        <f t="shared" ca="1" si="280"/>
        <v>0</v>
      </c>
      <c r="R585" s="306">
        <f t="shared" ca="1" si="281"/>
        <v>0</v>
      </c>
      <c r="S585" s="307">
        <f t="shared" ca="1" si="282"/>
        <v>7.4819999999999904</v>
      </c>
      <c r="T585" s="304">
        <f t="shared" ca="1" si="262"/>
        <v>73.398419999999916</v>
      </c>
      <c r="U585" s="311">
        <f t="shared" ca="1" si="263"/>
        <v>0</v>
      </c>
      <c r="V585" s="306">
        <f t="shared" ca="1" si="264"/>
        <v>1.0541036001987556</v>
      </c>
      <c r="W585" s="304">
        <f t="shared" ca="1" si="265"/>
        <v>5.4328148856649987</v>
      </c>
      <c r="Y585" s="314" t="str">
        <f t="shared" ca="1" si="283"/>
        <v/>
      </c>
      <c r="Z585" s="315" t="str">
        <f t="shared" ca="1" si="284"/>
        <v/>
      </c>
      <c r="AA585" s="316" t="str">
        <f t="shared" ca="1" si="285"/>
        <v/>
      </c>
      <c r="AC585" s="310" t="e">
        <f t="shared" ca="1" si="286"/>
        <v>#N/A</v>
      </c>
      <c r="AD585" s="323" t="e">
        <f t="shared" ca="1" si="287"/>
        <v>#N/A</v>
      </c>
      <c r="AE585" s="324" t="e">
        <f t="shared" ca="1" si="266"/>
        <v>#N/A</v>
      </c>
      <c r="AG585" s="306">
        <f t="shared" ca="1" si="288"/>
        <v>8.6088684314901105</v>
      </c>
      <c r="AH585" s="304">
        <f t="shared" ca="1" si="289"/>
        <v>-0.69775221874705318</v>
      </c>
    </row>
    <row r="586" spans="1:34" x14ac:dyDescent="0.2">
      <c r="A586" s="347">
        <f t="shared" ca="1" si="267"/>
        <v>0.1</v>
      </c>
      <c r="B586" s="304">
        <f t="shared" ca="1" si="268"/>
        <v>22.200000000000003</v>
      </c>
      <c r="D586" s="306">
        <f t="shared" ca="1" si="269"/>
        <v>-0.22476496147137065</v>
      </c>
      <c r="E586" s="307">
        <f t="shared" ca="1" si="270"/>
        <v>-9.119545031233228</v>
      </c>
      <c r="F586" s="304">
        <f t="shared" ca="1" si="271"/>
        <v>9.1223144467068167</v>
      </c>
      <c r="G586" s="306">
        <f t="shared" ca="1" si="272"/>
        <v>13.644887478226355</v>
      </c>
      <c r="H586" s="307">
        <f t="shared" ca="1" si="273"/>
        <v>-42.896698496471046</v>
      </c>
      <c r="I586" s="304">
        <f t="shared" ca="1" si="274"/>
        <v>45.014549827701259</v>
      </c>
      <c r="J586" s="306">
        <f t="shared" ca="1" si="275"/>
        <v>347.96547472205236</v>
      </c>
      <c r="K586" s="307">
        <f t="shared" ca="1" si="276"/>
        <v>1495.4367654323542</v>
      </c>
      <c r="L586" s="304">
        <f t="shared" ca="1" si="261"/>
        <v>1535.3863002532376</v>
      </c>
      <c r="M586" s="306">
        <f t="shared" ca="1" si="277"/>
        <v>-1.2628295363202666</v>
      </c>
      <c r="N586" s="304">
        <f t="shared" ca="1" si="278"/>
        <v>-72.354802675613982</v>
      </c>
      <c r="P586" s="310">
        <f t="shared" ca="1" si="279"/>
        <v>23</v>
      </c>
      <c r="Q586" s="304">
        <f t="shared" ca="1" si="280"/>
        <v>0</v>
      </c>
      <c r="R586" s="306">
        <f t="shared" ca="1" si="281"/>
        <v>0</v>
      </c>
      <c r="S586" s="307">
        <f t="shared" ca="1" si="282"/>
        <v>7.4819999999999904</v>
      </c>
      <c r="T586" s="304">
        <f t="shared" ca="1" si="262"/>
        <v>73.398419999999916</v>
      </c>
      <c r="U586" s="311">
        <f t="shared" ca="1" si="263"/>
        <v>0</v>
      </c>
      <c r="V586" s="306">
        <f t="shared" ca="1" si="264"/>
        <v>1.0545535878014258</v>
      </c>
      <c r="W586" s="304">
        <f t="shared" ca="1" si="265"/>
        <v>5.6492315997235201</v>
      </c>
      <c r="Y586" s="314" t="str">
        <f t="shared" ca="1" si="283"/>
        <v/>
      </c>
      <c r="Z586" s="315" t="str">
        <f t="shared" ca="1" si="284"/>
        <v/>
      </c>
      <c r="AA586" s="316" t="str">
        <f t="shared" ca="1" si="285"/>
        <v/>
      </c>
      <c r="AC586" s="310" t="e">
        <f t="shared" ca="1" si="286"/>
        <v>#N/A</v>
      </c>
      <c r="AD586" s="323" t="e">
        <f t="shared" ca="1" si="287"/>
        <v>#N/A</v>
      </c>
      <c r="AE586" s="324" t="e">
        <f t="shared" ca="1" si="266"/>
        <v>#N/A</v>
      </c>
      <c r="AG586" s="306">
        <f t="shared" ca="1" si="288"/>
        <v>8.6020672682542152</v>
      </c>
      <c r="AH586" s="304">
        <f t="shared" ca="1" si="289"/>
        <v>-0.72611800129176762</v>
      </c>
    </row>
    <row r="587" spans="1:34" x14ac:dyDescent="0.2">
      <c r="A587" s="347">
        <f t="shared" ca="1" si="267"/>
        <v>0.1</v>
      </c>
      <c r="B587" s="304">
        <f t="shared" ca="1" si="268"/>
        <v>22.300000000000004</v>
      </c>
      <c r="D587" s="306">
        <f t="shared" ca="1" si="269"/>
        <v>-0.22886992284420629</v>
      </c>
      <c r="E587" s="307">
        <f t="shared" ca="1" si="270"/>
        <v>-9.0904803930538041</v>
      </c>
      <c r="F587" s="304">
        <f t="shared" ca="1" si="271"/>
        <v>9.0933610517826882</v>
      </c>
      <c r="G587" s="306">
        <f t="shared" ca="1" si="272"/>
        <v>13.622000485941934</v>
      </c>
      <c r="H587" s="307">
        <f t="shared" ca="1" si="273"/>
        <v>-43.805746535776429</v>
      </c>
      <c r="I587" s="304">
        <f t="shared" ca="1" si="274"/>
        <v>45.874855060214529</v>
      </c>
      <c r="J587" s="306">
        <f t="shared" ca="1" si="275"/>
        <v>349.32881912026079</v>
      </c>
      <c r="K587" s="307">
        <f t="shared" ca="1" si="276"/>
        <v>1491.1016431807418</v>
      </c>
      <c r="L587" s="304">
        <f t="shared" ca="1" si="261"/>
        <v>1531.4746926293833</v>
      </c>
      <c r="M587" s="306">
        <f t="shared" ca="1" si="277"/>
        <v>-1.2693116163836202</v>
      </c>
      <c r="N587" s="304">
        <f t="shared" ca="1" si="278"/>
        <v>-72.72619850571003</v>
      </c>
      <c r="P587" s="310">
        <f t="shared" ca="1" si="279"/>
        <v>23</v>
      </c>
      <c r="Q587" s="304">
        <f t="shared" ca="1" si="280"/>
        <v>0</v>
      </c>
      <c r="R587" s="306">
        <f t="shared" ca="1" si="281"/>
        <v>0</v>
      </c>
      <c r="S587" s="307">
        <f t="shared" ca="1" si="282"/>
        <v>7.4819999999999904</v>
      </c>
      <c r="T587" s="304">
        <f t="shared" ca="1" si="262"/>
        <v>73.398419999999916</v>
      </c>
      <c r="U587" s="311">
        <f t="shared" ca="1" si="263"/>
        <v>0</v>
      </c>
      <c r="V587" s="306">
        <f t="shared" ca="1" si="264"/>
        <v>1.0550134126929693</v>
      </c>
      <c r="W587" s="304">
        <f t="shared" ca="1" si="265"/>
        <v>5.8697863609815721</v>
      </c>
      <c r="Y587" s="314" t="str">
        <f t="shared" ca="1" si="283"/>
        <v/>
      </c>
      <c r="Z587" s="315" t="str">
        <f t="shared" ca="1" si="284"/>
        <v/>
      </c>
      <c r="AA587" s="316" t="str">
        <f t="shared" ca="1" si="285"/>
        <v/>
      </c>
      <c r="AC587" s="310" t="e">
        <f t="shared" ca="1" si="286"/>
        <v>#N/A</v>
      </c>
      <c r="AD587" s="323" t="e">
        <f t="shared" ca="1" si="287"/>
        <v>#N/A</v>
      </c>
      <c r="AE587" s="324" t="e">
        <f t="shared" ca="1" si="266"/>
        <v>#N/A</v>
      </c>
      <c r="AG587" s="306">
        <f t="shared" ca="1" si="288"/>
        <v>8.5934146569317171</v>
      </c>
      <c r="AH587" s="304">
        <f t="shared" ca="1" si="289"/>
        <v>-0.75504298312263129</v>
      </c>
    </row>
    <row r="588" spans="1:34" x14ac:dyDescent="0.2">
      <c r="A588" s="347">
        <f t="shared" ca="1" si="267"/>
        <v>0.1</v>
      </c>
      <c r="B588" s="304">
        <f t="shared" ca="1" si="268"/>
        <v>22.400000000000006</v>
      </c>
      <c r="D588" s="306">
        <f t="shared" ca="1" si="269"/>
        <v>-0.23295432463607676</v>
      </c>
      <c r="E588" s="307">
        <f t="shared" ca="1" si="270"/>
        <v>-9.060863475599465</v>
      </c>
      <c r="F588" s="304">
        <f t="shared" ca="1" si="271"/>
        <v>9.0638576026336093</v>
      </c>
      <c r="G588" s="306">
        <f t="shared" ca="1" si="272"/>
        <v>13.598705053478326</v>
      </c>
      <c r="H588" s="307">
        <f t="shared" ca="1" si="273"/>
        <v>-44.711832883336378</v>
      </c>
      <c r="I588" s="304">
        <f t="shared" ca="1" si="274"/>
        <v>46.734064438254215</v>
      </c>
      <c r="J588" s="306">
        <f t="shared" ca="1" si="275"/>
        <v>350.68985439723178</v>
      </c>
      <c r="K588" s="307">
        <f t="shared" ca="1" si="276"/>
        <v>1486.6757642097862</v>
      </c>
      <c r="L588" s="304">
        <f t="shared" ca="1" si="261"/>
        <v>1527.4777254892797</v>
      </c>
      <c r="M588" s="306">
        <f t="shared" ca="1" si="277"/>
        <v>-1.2755447215264382</v>
      </c>
      <c r="N588" s="304">
        <f t="shared" ca="1" si="278"/>
        <v>-73.083329123654792</v>
      </c>
      <c r="P588" s="310">
        <f t="shared" ca="1" si="279"/>
        <v>23</v>
      </c>
      <c r="Q588" s="304">
        <f t="shared" ca="1" si="280"/>
        <v>0</v>
      </c>
      <c r="R588" s="306">
        <f t="shared" ca="1" si="281"/>
        <v>0</v>
      </c>
      <c r="S588" s="307">
        <f t="shared" ca="1" si="282"/>
        <v>7.4819999999999904</v>
      </c>
      <c r="T588" s="304">
        <f t="shared" ca="1" si="262"/>
        <v>73.398419999999916</v>
      </c>
      <c r="U588" s="311">
        <f t="shared" ca="1" si="263"/>
        <v>0</v>
      </c>
      <c r="V588" s="306">
        <f t="shared" ca="1" si="264"/>
        <v>1.0554830555324419</v>
      </c>
      <c r="W588" s="304">
        <f t="shared" ca="1" si="265"/>
        <v>6.0944325557810153</v>
      </c>
      <c r="Y588" s="314" t="str">
        <f t="shared" ca="1" si="283"/>
        <v/>
      </c>
      <c r="Z588" s="315" t="str">
        <f t="shared" ca="1" si="284"/>
        <v/>
      </c>
      <c r="AA588" s="316" t="str">
        <f t="shared" ca="1" si="285"/>
        <v/>
      </c>
      <c r="AC588" s="310" t="e">
        <f t="shared" ca="1" si="286"/>
        <v>#N/A</v>
      </c>
      <c r="AD588" s="323" t="e">
        <f t="shared" ca="1" si="287"/>
        <v>#N/A</v>
      </c>
      <c r="AE588" s="324" t="e">
        <f t="shared" ca="1" si="266"/>
        <v>#N/A</v>
      </c>
      <c r="AG588" s="306">
        <f t="shared" ca="1" si="288"/>
        <v>8.5830153439649504</v>
      </c>
      <c r="AH588" s="304">
        <f t="shared" ca="1" si="289"/>
        <v>-0.78452103194086875</v>
      </c>
    </row>
    <row r="589" spans="1:34" x14ac:dyDescent="0.2">
      <c r="A589" s="347">
        <f t="shared" ca="1" si="267"/>
        <v>0.1</v>
      </c>
      <c r="B589" s="304">
        <f t="shared" ca="1" si="268"/>
        <v>22.500000000000007</v>
      </c>
      <c r="D589" s="306">
        <f t="shared" ca="1" si="269"/>
        <v>-0.23701704141597538</v>
      </c>
      <c r="E589" s="307">
        <f t="shared" ca="1" si="270"/>
        <v>-9.0307003310522393</v>
      </c>
      <c r="F589" s="304">
        <f t="shared" ca="1" si="271"/>
        <v>9.033810134554999</v>
      </c>
      <c r="G589" s="306">
        <f t="shared" ca="1" si="272"/>
        <v>13.575003349336729</v>
      </c>
      <c r="H589" s="307">
        <f t="shared" ca="1" si="273"/>
        <v>-45.614902916441601</v>
      </c>
      <c r="I589" s="304">
        <f t="shared" ca="1" si="274"/>
        <v>47.592017019778602</v>
      </c>
      <c r="J589" s="306">
        <f t="shared" ca="1" si="275"/>
        <v>352.04853981737256</v>
      </c>
      <c r="K589" s="307">
        <f t="shared" ca="1" si="276"/>
        <v>1482.1594274197973</v>
      </c>
      <c r="L589" s="304">
        <f t="shared" ca="1" si="261"/>
        <v>1523.3957931794762</v>
      </c>
      <c r="M589" s="306">
        <f t="shared" ca="1" si="277"/>
        <v>-1.2815426530246481</v>
      </c>
      <c r="N589" s="304">
        <f t="shared" ca="1" si="278"/>
        <v>-73.426985284310803</v>
      </c>
      <c r="P589" s="310">
        <f t="shared" ca="1" si="279"/>
        <v>23</v>
      </c>
      <c r="Q589" s="304">
        <f t="shared" ca="1" si="280"/>
        <v>0</v>
      </c>
      <c r="R589" s="306">
        <f t="shared" ca="1" si="281"/>
        <v>0</v>
      </c>
      <c r="S589" s="307">
        <f t="shared" ca="1" si="282"/>
        <v>7.4819999999999904</v>
      </c>
      <c r="T589" s="304">
        <f t="shared" ca="1" si="262"/>
        <v>73.398419999999916</v>
      </c>
      <c r="U589" s="311">
        <f t="shared" ca="1" si="263"/>
        <v>0</v>
      </c>
      <c r="V589" s="306">
        <f t="shared" ca="1" si="264"/>
        <v>1.0559624966034129</v>
      </c>
      <c r="W589" s="304">
        <f t="shared" ca="1" si="265"/>
        <v>6.323122856961974</v>
      </c>
      <c r="Y589" s="314" t="str">
        <f t="shared" ca="1" si="283"/>
        <v/>
      </c>
      <c r="Z589" s="315" t="str">
        <f t="shared" ca="1" si="284"/>
        <v/>
      </c>
      <c r="AA589" s="316" t="str">
        <f t="shared" ca="1" si="285"/>
        <v/>
      </c>
      <c r="AC589" s="310" t="e">
        <f t="shared" ca="1" si="286"/>
        <v>#N/A</v>
      </c>
      <c r="AD589" s="323" t="e">
        <f t="shared" ca="1" si="287"/>
        <v>#N/A</v>
      </c>
      <c r="AE589" s="324" t="e">
        <f t="shared" ca="1" si="266"/>
        <v>#N/A</v>
      </c>
      <c r="AG589" s="306">
        <f t="shared" ca="1" si="288"/>
        <v>8.5709651834767193</v>
      </c>
      <c r="AH589" s="304">
        <f t="shared" ca="1" si="289"/>
        <v>-0.81454591763980533</v>
      </c>
    </row>
    <row r="590" spans="1:34" x14ac:dyDescent="0.2">
      <c r="A590" s="347">
        <f t="shared" ca="1" si="267"/>
        <v>0.1</v>
      </c>
      <c r="B590" s="304">
        <f t="shared" ca="1" si="268"/>
        <v>22.600000000000009</v>
      </c>
      <c r="D590" s="306">
        <f t="shared" ca="1" si="269"/>
        <v>-0.2410570017137611</v>
      </c>
      <c r="E590" s="307">
        <f t="shared" ca="1" si="270"/>
        <v>-8.9999971257805278</v>
      </c>
      <c r="F590" s="304">
        <f t="shared" ca="1" si="271"/>
        <v>9.0032247968232468</v>
      </c>
      <c r="G590" s="306">
        <f t="shared" ca="1" si="272"/>
        <v>13.550897649165353</v>
      </c>
      <c r="H590" s="307">
        <f t="shared" ca="1" si="273"/>
        <v>-46.514902629019652</v>
      </c>
      <c r="I590" s="304">
        <f t="shared" ca="1" si="274"/>
        <v>48.448560284959285</v>
      </c>
      <c r="J590" s="306">
        <f t="shared" ca="1" si="275"/>
        <v>353.40483486729767</v>
      </c>
      <c r="K590" s="307">
        <f t="shared" ca="1" si="276"/>
        <v>1477.5529371425243</v>
      </c>
      <c r="L590" s="304">
        <f t="shared" ca="1" si="261"/>
        <v>1519.2292978237624</v>
      </c>
      <c r="M590" s="306">
        <f t="shared" ca="1" si="277"/>
        <v>-1.2873182433485639</v>
      </c>
      <c r="N590" s="304">
        <f t="shared" ca="1" si="278"/>
        <v>-73.757902234067771</v>
      </c>
      <c r="P590" s="310">
        <f t="shared" ca="1" si="279"/>
        <v>23</v>
      </c>
      <c r="Q590" s="304">
        <f t="shared" ca="1" si="280"/>
        <v>0</v>
      </c>
      <c r="R590" s="306">
        <f t="shared" ca="1" si="281"/>
        <v>0</v>
      </c>
      <c r="S590" s="307">
        <f t="shared" ca="1" si="282"/>
        <v>7.4819999999999904</v>
      </c>
      <c r="T590" s="304">
        <f t="shared" ca="1" si="262"/>
        <v>73.398419999999916</v>
      </c>
      <c r="U590" s="311">
        <f t="shared" ca="1" si="263"/>
        <v>0</v>
      </c>
      <c r="V590" s="306">
        <f t="shared" ca="1" si="264"/>
        <v>1.0564517158172673</v>
      </c>
      <c r="W590" s="304">
        <f t="shared" ca="1" si="265"/>
        <v>6.5558092424127601</v>
      </c>
      <c r="Y590" s="314" t="str">
        <f t="shared" ca="1" si="283"/>
        <v/>
      </c>
      <c r="Z590" s="315" t="str">
        <f t="shared" ca="1" si="284"/>
        <v/>
      </c>
      <c r="AA590" s="316" t="str">
        <f t="shared" ca="1" si="285"/>
        <v/>
      </c>
      <c r="AC590" s="310" t="e">
        <f t="shared" ca="1" si="286"/>
        <v>#N/A</v>
      </c>
      <c r="AD590" s="323" t="e">
        <f t="shared" ca="1" si="287"/>
        <v>#N/A</v>
      </c>
      <c r="AE590" s="324" t="e">
        <f t="shared" ca="1" si="266"/>
        <v>#N/A</v>
      </c>
      <c r="AG590" s="306">
        <f t="shared" ca="1" si="288"/>
        <v>8.5573520736856867</v>
      </c>
      <c r="AH590" s="304">
        <f t="shared" ca="1" si="289"/>
        <v>-0.84511131475033174</v>
      </c>
    </row>
    <row r="591" spans="1:34" x14ac:dyDescent="0.2">
      <c r="A591" s="347">
        <f t="shared" ca="1" si="267"/>
        <v>0.1</v>
      </c>
      <c r="B591" s="304">
        <f t="shared" ca="1" si="268"/>
        <v>22.70000000000001</v>
      </c>
      <c r="D591" s="306">
        <f t="shared" ca="1" si="269"/>
        <v>-0.24507318415098889</v>
      </c>
      <c r="E591" s="307">
        <f t="shared" ca="1" si="270"/>
        <v>-8.9687601358298803</v>
      </c>
      <c r="F591" s="304">
        <f t="shared" ca="1" si="271"/>
        <v>8.9721078481949341</v>
      </c>
      <c r="G591" s="306">
        <f t="shared" ca="1" si="272"/>
        <v>13.526390330750255</v>
      </c>
      <c r="H591" s="307">
        <f t="shared" ca="1" si="273"/>
        <v>-47.411778642602641</v>
      </c>
      <c r="I591" s="304">
        <f t="shared" ca="1" si="274"/>
        <v>49.303549460814338</v>
      </c>
      <c r="J591" s="306">
        <f t="shared" ca="1" si="275"/>
        <v>354.75869926629343</v>
      </c>
      <c r="K591" s="307">
        <f t="shared" ca="1" si="276"/>
        <v>1472.8566030789432</v>
      </c>
      <c r="L591" s="304">
        <f t="shared" ca="1" si="261"/>
        <v>1514.9786493341601</v>
      </c>
      <c r="M591" s="306">
        <f t="shared" ca="1" si="277"/>
        <v>-1.292883436629898</v>
      </c>
      <c r="N591" s="304">
        <f t="shared" ca="1" si="278"/>
        <v>-74.076764321262772</v>
      </c>
      <c r="P591" s="310">
        <f t="shared" ca="1" si="279"/>
        <v>23</v>
      </c>
      <c r="Q591" s="304">
        <f t="shared" ca="1" si="280"/>
        <v>0</v>
      </c>
      <c r="R591" s="306">
        <f t="shared" ca="1" si="281"/>
        <v>0</v>
      </c>
      <c r="S591" s="307">
        <f t="shared" ca="1" si="282"/>
        <v>7.4819999999999904</v>
      </c>
      <c r="T591" s="304">
        <f t="shared" ca="1" si="262"/>
        <v>73.398419999999916</v>
      </c>
      <c r="U591" s="311">
        <f t="shared" ca="1" si="263"/>
        <v>0</v>
      </c>
      <c r="V591" s="306">
        <f t="shared" ca="1" si="264"/>
        <v>1.0569506927165901</v>
      </c>
      <c r="W591" s="304">
        <f t="shared" ca="1" si="265"/>
        <v>6.7924430138563219</v>
      </c>
      <c r="Y591" s="314" t="str">
        <f t="shared" ca="1" si="283"/>
        <v/>
      </c>
      <c r="Z591" s="315" t="str">
        <f t="shared" ca="1" si="284"/>
        <v/>
      </c>
      <c r="AA591" s="316" t="str">
        <f t="shared" ca="1" si="285"/>
        <v/>
      </c>
      <c r="AC591" s="310" t="e">
        <f t="shared" ca="1" si="286"/>
        <v>#N/A</v>
      </c>
      <c r="AD591" s="323" t="e">
        <f t="shared" ca="1" si="287"/>
        <v>#N/A</v>
      </c>
      <c r="AE591" s="324" t="e">
        <f t="shared" ca="1" si="266"/>
        <v>#N/A</v>
      </c>
      <c r="AG591" s="306">
        <f t="shared" ca="1" si="288"/>
        <v>8.5422567843498243</v>
      </c>
      <c r="AH591" s="304">
        <f t="shared" ca="1" si="289"/>
        <v>-0.87621080492017756</v>
      </c>
    </row>
    <row r="592" spans="1:34" x14ac:dyDescent="0.2">
      <c r="A592" s="347">
        <f t="shared" ca="1" si="267"/>
        <v>0.1</v>
      </c>
      <c r="B592" s="304">
        <f t="shared" ca="1" si="268"/>
        <v>22.800000000000011</v>
      </c>
      <c r="D592" s="306">
        <f t="shared" ca="1" si="269"/>
        <v>-0.24906461397673096</v>
      </c>
      <c r="E592" s="307">
        <f t="shared" ca="1" si="270"/>
        <v>-8.9369957426317246</v>
      </c>
      <c r="F592" s="304">
        <f t="shared" ca="1" si="271"/>
        <v>8.9404656526241943</v>
      </c>
      <c r="G592" s="306">
        <f t="shared" ca="1" si="272"/>
        <v>13.501483869352581</v>
      </c>
      <c r="H592" s="307">
        <f t="shared" ca="1" si="273"/>
        <v>-48.305478216865815</v>
      </c>
      <c r="I592" s="304">
        <f t="shared" ca="1" si="274"/>
        <v>50.156846914798038</v>
      </c>
      <c r="J592" s="306">
        <f t="shared" ca="1" si="275"/>
        <v>356.11009297629857</v>
      </c>
      <c r="K592" s="307">
        <f t="shared" ca="1" si="276"/>
        <v>1468.0707402359697</v>
      </c>
      <c r="L592" s="304">
        <f t="shared" ca="1" si="261"/>
        <v>1510.6442654233908</v>
      </c>
      <c r="M592" s="306">
        <f t="shared" ca="1" si="277"/>
        <v>-1.298249361579078</v>
      </c>
      <c r="N592" s="304">
        <f t="shared" ca="1" si="278"/>
        <v>-74.384209174034737</v>
      </c>
      <c r="P592" s="310">
        <f t="shared" ca="1" si="279"/>
        <v>23</v>
      </c>
      <c r="Q592" s="304">
        <f t="shared" ca="1" si="280"/>
        <v>0</v>
      </c>
      <c r="R592" s="306">
        <f t="shared" ca="1" si="281"/>
        <v>0</v>
      </c>
      <c r="S592" s="307">
        <f t="shared" ca="1" si="282"/>
        <v>7.4819999999999904</v>
      </c>
      <c r="T592" s="304">
        <f t="shared" ca="1" si="262"/>
        <v>73.398419999999916</v>
      </c>
      <c r="U592" s="311">
        <f t="shared" ca="1" si="263"/>
        <v>0</v>
      </c>
      <c r="V592" s="306">
        <f t="shared" ca="1" si="264"/>
        <v>1.0574594064786191</v>
      </c>
      <c r="W592" s="304">
        <f t="shared" ca="1" si="265"/>
        <v>7.0329748158571848</v>
      </c>
      <c r="Y592" s="314" t="str">
        <f t="shared" ca="1" si="283"/>
        <v/>
      </c>
      <c r="Z592" s="315" t="str">
        <f t="shared" ca="1" si="284"/>
        <v/>
      </c>
      <c r="AA592" s="316" t="str">
        <f t="shared" ca="1" si="285"/>
        <v/>
      </c>
      <c r="AC592" s="310" t="e">
        <f t="shared" ca="1" si="286"/>
        <v>#N/A</v>
      </c>
      <c r="AD592" s="323" t="e">
        <f t="shared" ca="1" si="287"/>
        <v>#N/A</v>
      </c>
      <c r="AE592" s="324" t="e">
        <f t="shared" ca="1" si="266"/>
        <v>#N/A</v>
      </c>
      <c r="AG592" s="306">
        <f t="shared" ca="1" si="288"/>
        <v>8.5257536889387247</v>
      </c>
      <c r="AH592" s="304">
        <f t="shared" ca="1" si="289"/>
        <v>-0.90783787942479688</v>
      </c>
    </row>
    <row r="593" spans="1:34" x14ac:dyDescent="0.2">
      <c r="A593" s="347">
        <f t="shared" ca="1" si="267"/>
        <v>0.1</v>
      </c>
      <c r="B593" s="304">
        <f t="shared" ca="1" si="268"/>
        <v>22.900000000000013</v>
      </c>
      <c r="D593" s="306">
        <f t="shared" ca="1" si="269"/>
        <v>-0.25303035996149681</v>
      </c>
      <c r="E593" s="307">
        <f t="shared" ca="1" si="270"/>
        <v>-8.9047104288980723</v>
      </c>
      <c r="F593" s="304">
        <f t="shared" ca="1" si="271"/>
        <v>8.9083046751662209</v>
      </c>
      <c r="G593" s="306">
        <f t="shared" ca="1" si="272"/>
        <v>13.476180833356432</v>
      </c>
      <c r="H593" s="307">
        <f t="shared" ca="1" si="273"/>
        <v>-49.195949259755622</v>
      </c>
      <c r="I593" s="304">
        <f t="shared" ca="1" si="274"/>
        <v>51.008321609535173</v>
      </c>
      <c r="J593" s="306">
        <f t="shared" ca="1" si="275"/>
        <v>357.45897621143405</v>
      </c>
      <c r="K593" s="307">
        <f t="shared" ca="1" si="276"/>
        <v>1463.1956688621385</v>
      </c>
      <c r="L593" s="304">
        <f t="shared" ca="1" si="261"/>
        <v>1506.2265716189738</v>
      </c>
      <c r="M593" s="306">
        <f t="shared" ca="1" si="277"/>
        <v>-1.3034263976226454</v>
      </c>
      <c r="N593" s="304">
        <f t="shared" ca="1" si="278"/>
        <v>-74.680831489718258</v>
      </c>
      <c r="P593" s="310">
        <f t="shared" ca="1" si="279"/>
        <v>23</v>
      </c>
      <c r="Q593" s="304">
        <f t="shared" ca="1" si="280"/>
        <v>0</v>
      </c>
      <c r="R593" s="306">
        <f t="shared" ca="1" si="281"/>
        <v>0</v>
      </c>
      <c r="S593" s="307">
        <f t="shared" ca="1" si="282"/>
        <v>7.4819999999999904</v>
      </c>
      <c r="T593" s="304">
        <f t="shared" ca="1" si="262"/>
        <v>73.398419999999916</v>
      </c>
      <c r="U593" s="311">
        <f t="shared" ca="1" si="263"/>
        <v>0</v>
      </c>
      <c r="V593" s="306">
        <f t="shared" ca="1" si="264"/>
        <v>1.0579778359187697</v>
      </c>
      <c r="W593" s="304">
        <f t="shared" ca="1" si="265"/>
        <v>7.2773546550334363</v>
      </c>
      <c r="Y593" s="314" t="str">
        <f t="shared" ca="1" si="283"/>
        <v/>
      </c>
      <c r="Z593" s="315" t="str">
        <f t="shared" ca="1" si="284"/>
        <v/>
      </c>
      <c r="AA593" s="316" t="str">
        <f t="shared" ca="1" si="285"/>
        <v/>
      </c>
      <c r="AC593" s="310" t="e">
        <f t="shared" ca="1" si="286"/>
        <v>#N/A</v>
      </c>
      <c r="AD593" s="323" t="e">
        <f t="shared" ca="1" si="287"/>
        <v>#N/A</v>
      </c>
      <c r="AE593" s="324" t="e">
        <f t="shared" ca="1" si="266"/>
        <v>#N/A</v>
      </c>
      <c r="AG593" s="306">
        <f t="shared" ca="1" si="288"/>
        <v>8.5079114134117688</v>
      </c>
      <c r="AH593" s="304">
        <f t="shared" ca="1" si="289"/>
        <v>-0.93998594170772443</v>
      </c>
    </row>
    <row r="594" spans="1:34" x14ac:dyDescent="0.2">
      <c r="A594" s="347">
        <f t="shared" ca="1" si="267"/>
        <v>0.1</v>
      </c>
      <c r="B594" s="304">
        <f t="shared" ca="1" si="268"/>
        <v>23.000000000000014</v>
      </c>
      <c r="D594" s="306">
        <f t="shared" ca="1" si="269"/>
        <v>-0.25696953160819214</v>
      </c>
      <c r="E594" s="307">
        <f t="shared" ca="1" si="270"/>
        <v>-8.8719107746752339</v>
      </c>
      <c r="F594" s="304">
        <f t="shared" ca="1" si="271"/>
        <v>8.8756314780399403</v>
      </c>
      <c r="G594" s="306">
        <f t="shared" ca="1" si="272"/>
        <v>13.450483880195613</v>
      </c>
      <c r="H594" s="307">
        <f t="shared" ca="1" si="273"/>
        <v>-50.083140337223142</v>
      </c>
      <c r="I594" s="304">
        <f t="shared" ca="1" si="274"/>
        <v>51.857848611848425</v>
      </c>
      <c r="J594" s="306">
        <f t="shared" ca="1" si="275"/>
        <v>358.80530944711165</v>
      </c>
      <c r="K594" s="307">
        <f t="shared" ca="1" si="276"/>
        <v>1458.2317143822895</v>
      </c>
      <c r="L594" s="304">
        <f t="shared" ca="1" si="261"/>
        <v>1501.7260012791112</v>
      </c>
      <c r="M594" s="306">
        <f t="shared" ca="1" si="277"/>
        <v>-1.3084242349486528</v>
      </c>
      <c r="N594" s="304">
        <f t="shared" ca="1" si="278"/>
        <v>-74.967186475191426</v>
      </c>
      <c r="P594" s="310">
        <f t="shared" ca="1" si="279"/>
        <v>23</v>
      </c>
      <c r="Q594" s="304">
        <f t="shared" ca="1" si="280"/>
        <v>0</v>
      </c>
      <c r="R594" s="306">
        <f t="shared" ca="1" si="281"/>
        <v>0</v>
      </c>
      <c r="S594" s="307">
        <f t="shared" ca="1" si="282"/>
        <v>7.4819999999999904</v>
      </c>
      <c r="T594" s="304">
        <f t="shared" ca="1" si="262"/>
        <v>73.398419999999916</v>
      </c>
      <c r="U594" s="311">
        <f t="shared" ca="1" si="263"/>
        <v>0</v>
      </c>
      <c r="V594" s="306">
        <f t="shared" ca="1" si="264"/>
        <v>1.0585059594942277</v>
      </c>
      <c r="W594" s="304">
        <f t="shared" ca="1" si="265"/>
        <v>7.525531919458551</v>
      </c>
      <c r="Y594" s="314" t="str">
        <f t="shared" ca="1" si="283"/>
        <v/>
      </c>
      <c r="Z594" s="315" t="str">
        <f t="shared" ca="1" si="284"/>
        <v/>
      </c>
      <c r="AA594" s="316" t="str">
        <f t="shared" ca="1" si="285"/>
        <v/>
      </c>
      <c r="AC594" s="310">
        <f t="shared" ca="1" si="286"/>
        <v>23.000000000000014</v>
      </c>
      <c r="AD594" s="323">
        <f t="shared" ca="1" si="287"/>
        <v>358.80530944711165</v>
      </c>
      <c r="AE594" s="324" t="e">
        <f t="shared" ca="1" si="266"/>
        <v>#N/A</v>
      </c>
      <c r="AG594" s="306">
        <f t="shared" ca="1" si="288"/>
        <v>8.4887934119056592</v>
      </c>
      <c r="AH594" s="304">
        <f t="shared" ca="1" si="289"/>
        <v>-0.9726483099483354</v>
      </c>
    </row>
    <row r="595" spans="1:34" x14ac:dyDescent="0.2">
      <c r="A595" s="347">
        <f t="shared" ca="1" si="267"/>
        <v>0.1</v>
      </c>
      <c r="B595" s="304">
        <f t="shared" ca="1" si="268"/>
        <v>23.100000000000016</v>
      </c>
      <c r="D595" s="306">
        <f t="shared" ca="1" si="269"/>
        <v>-0.26088127664411687</v>
      </c>
      <c r="E595" s="307">
        <f t="shared" ca="1" si="270"/>
        <v>-8.8386034535338069</v>
      </c>
      <c r="F595" s="304">
        <f t="shared" ca="1" si="271"/>
        <v>8.842452716827113</v>
      </c>
      <c r="G595" s="306">
        <f t="shared" ca="1" si="272"/>
        <v>13.424395752531201</v>
      </c>
      <c r="H595" s="307">
        <f t="shared" ca="1" si="273"/>
        <v>-50.967000682576526</v>
      </c>
      <c r="I595" s="304">
        <f t="shared" ca="1" si="274"/>
        <v>52.705308650062314</v>
      </c>
      <c r="J595" s="306">
        <f t="shared" ca="1" si="275"/>
        <v>360.149053428748</v>
      </c>
      <c r="K595" s="307">
        <f t="shared" ca="1" si="276"/>
        <v>1453.1792073312995</v>
      </c>
      <c r="L595" s="304">
        <f t="shared" ca="1" si="261"/>
        <v>1497.1429956105219</v>
      </c>
      <c r="M595" s="306">
        <f t="shared" ca="1" si="277"/>
        <v>-1.3132519290746636</v>
      </c>
      <c r="N595" s="304">
        <f t="shared" ca="1" si="278"/>
        <v>-75.243792973391947</v>
      </c>
      <c r="P595" s="310">
        <f t="shared" ca="1" si="279"/>
        <v>23</v>
      </c>
      <c r="Q595" s="304">
        <f t="shared" ca="1" si="280"/>
        <v>0</v>
      </c>
      <c r="R595" s="306">
        <f t="shared" ca="1" si="281"/>
        <v>0</v>
      </c>
      <c r="S595" s="307">
        <f t="shared" ca="1" si="282"/>
        <v>7.4819999999999904</v>
      </c>
      <c r="T595" s="304">
        <f t="shared" ca="1" si="262"/>
        <v>73.398419999999916</v>
      </c>
      <c r="U595" s="311">
        <f t="shared" ca="1" si="263"/>
        <v>0</v>
      </c>
      <c r="V595" s="306">
        <f t="shared" ca="1" si="264"/>
        <v>1.0590437553076044</v>
      </c>
      <c r="W595" s="304">
        <f t="shared" ca="1" si="265"/>
        <v>7.7774553982382404</v>
      </c>
      <c r="Y595" s="314" t="str">
        <f t="shared" ca="1" si="283"/>
        <v/>
      </c>
      <c r="Z595" s="315" t="str">
        <f t="shared" ca="1" si="284"/>
        <v/>
      </c>
      <c r="AA595" s="316" t="str">
        <f t="shared" ca="1" si="285"/>
        <v/>
      </c>
      <c r="AC595" s="310" t="e">
        <f t="shared" ca="1" si="286"/>
        <v>#N/A</v>
      </c>
      <c r="AD595" s="323" t="e">
        <f t="shared" ca="1" si="287"/>
        <v>#N/A</v>
      </c>
      <c r="AE595" s="324" t="e">
        <f t="shared" ca="1" si="266"/>
        <v>#N/A</v>
      </c>
      <c r="AG595" s="306">
        <f t="shared" ca="1" si="288"/>
        <v>8.468458478277757</v>
      </c>
      <c r="AH595" s="304">
        <f t="shared" ca="1" si="289"/>
        <v>-1.0058182196549801</v>
      </c>
    </row>
    <row r="596" spans="1:34" x14ac:dyDescent="0.2">
      <c r="A596" s="347">
        <f t="shared" ca="1" si="267"/>
        <v>0.1</v>
      </c>
      <c r="B596" s="304">
        <f t="shared" ca="1" si="268"/>
        <v>23.200000000000017</v>
      </c>
      <c r="D596" s="306">
        <f t="shared" ca="1" si="269"/>
        <v>-0.26476477876238819</v>
      </c>
      <c r="E596" s="307">
        <f t="shared" ca="1" si="270"/>
        <v>-8.8047952288757223</v>
      </c>
      <c r="F596" s="304">
        <f t="shared" ca="1" si="271"/>
        <v>8.8087751367886433</v>
      </c>
      <c r="G596" s="306">
        <f t="shared" ca="1" si="272"/>
        <v>13.397919274654962</v>
      </c>
      <c r="H596" s="307">
        <f t="shared" ca="1" si="273"/>
        <v>-51.847480205464095</v>
      </c>
      <c r="I596" s="304">
        <f t="shared" ca="1" si="274"/>
        <v>53.550587714292753</v>
      </c>
      <c r="J596" s="306">
        <f t="shared" ca="1" si="275"/>
        <v>361.49016918010733</v>
      </c>
      <c r="K596" s="307">
        <f t="shared" ca="1" si="276"/>
        <v>1448.0384832868974</v>
      </c>
      <c r="L596" s="304">
        <f t="shared" ca="1" si="261"/>
        <v>1492.4780036883897</v>
      </c>
      <c r="M596" s="306">
        <f t="shared" ca="1" si="277"/>
        <v>-1.3179179504874166</v>
      </c>
      <c r="N596" s="304">
        <f t="shared" ca="1" si="278"/>
        <v>-75.511136307460362</v>
      </c>
      <c r="P596" s="310">
        <f t="shared" ca="1" si="279"/>
        <v>23</v>
      </c>
      <c r="Q596" s="304">
        <f t="shared" ca="1" si="280"/>
        <v>0</v>
      </c>
      <c r="R596" s="306">
        <f t="shared" ca="1" si="281"/>
        <v>0</v>
      </c>
      <c r="S596" s="307">
        <f t="shared" ca="1" si="282"/>
        <v>7.4819999999999904</v>
      </c>
      <c r="T596" s="304">
        <f t="shared" ca="1" si="262"/>
        <v>73.398419999999916</v>
      </c>
      <c r="U596" s="311">
        <f t="shared" ca="1" si="263"/>
        <v>0</v>
      </c>
      <c r="V596" s="306">
        <f t="shared" ca="1" si="264"/>
        <v>1.0595912011106565</v>
      </c>
      <c r="W596" s="304">
        <f t="shared" ca="1" si="265"/>
        <v>8.0330733012477893</v>
      </c>
      <c r="Y596" s="314" t="str">
        <f t="shared" ca="1" si="283"/>
        <v/>
      </c>
      <c r="Z596" s="315" t="str">
        <f t="shared" ca="1" si="284"/>
        <v/>
      </c>
      <c r="AA596" s="316" t="str">
        <f t="shared" ca="1" si="285"/>
        <v/>
      </c>
      <c r="AC596" s="310" t="e">
        <f t="shared" ca="1" si="286"/>
        <v>#N/A</v>
      </c>
      <c r="AD596" s="323" t="e">
        <f t="shared" ca="1" si="287"/>
        <v>#N/A</v>
      </c>
      <c r="AE596" s="324" t="e">
        <f t="shared" ca="1" si="266"/>
        <v>#N/A</v>
      </c>
      <c r="AG596" s="306">
        <f t="shared" ca="1" si="288"/>
        <v>8.4469612012810291</v>
      </c>
      <c r="AH596" s="304">
        <f t="shared" ca="1" si="289"/>
        <v>-1.039488826281509</v>
      </c>
    </row>
    <row r="597" spans="1:34" x14ac:dyDescent="0.2">
      <c r="A597" s="347">
        <f t="shared" ca="1" si="267"/>
        <v>0.1</v>
      </c>
      <c r="B597" s="304">
        <f t="shared" ca="1" si="268"/>
        <v>23.300000000000018</v>
      </c>
      <c r="D597" s="306">
        <f t="shared" ca="1" si="269"/>
        <v>-0.26861925558500732</v>
      </c>
      <c r="E597" s="307">
        <f t="shared" ca="1" si="270"/>
        <v>-8.7704929503421845</v>
      </c>
      <c r="F597" s="304">
        <f t="shared" ca="1" si="271"/>
        <v>8.7746055692819027</v>
      </c>
      <c r="G597" s="306">
        <f t="shared" ca="1" si="272"/>
        <v>13.371057349096461</v>
      </c>
      <c r="H597" s="307">
        <f t="shared" ca="1" si="273"/>
        <v>-52.724529500498313</v>
      </c>
      <c r="I597" s="304">
        <f t="shared" ca="1" si="274"/>
        <v>54.393576695063395</v>
      </c>
      <c r="J597" s="306">
        <f t="shared" ca="1" si="275"/>
        <v>362.82861801129491</v>
      </c>
      <c r="K597" s="307">
        <f t="shared" ca="1" si="276"/>
        <v>1442.8098828015993</v>
      </c>
      <c r="L597" s="304">
        <f t="shared" ca="1" si="261"/>
        <v>1487.7314824785926</v>
      </c>
      <c r="M597" s="306">
        <f t="shared" ca="1" si="277"/>
        <v>-1.3224302298447357</v>
      </c>
      <c r="N597" s="304">
        <f t="shared" ca="1" si="278"/>
        <v>-75.769670870618754</v>
      </c>
      <c r="P597" s="310">
        <f t="shared" ca="1" si="279"/>
        <v>23</v>
      </c>
      <c r="Q597" s="304">
        <f t="shared" ca="1" si="280"/>
        <v>0</v>
      </c>
      <c r="R597" s="306">
        <f t="shared" ca="1" si="281"/>
        <v>0</v>
      </c>
      <c r="S597" s="307">
        <f t="shared" ca="1" si="282"/>
        <v>7.4819999999999904</v>
      </c>
      <c r="T597" s="304">
        <f t="shared" ca="1" si="262"/>
        <v>73.398419999999916</v>
      </c>
      <c r="U597" s="311">
        <f t="shared" ca="1" si="263"/>
        <v>0</v>
      </c>
      <c r="V597" s="306">
        <f t="shared" ca="1" si="264"/>
        <v>1.0601482743080652</v>
      </c>
      <c r="W597" s="304">
        <f t="shared" ca="1" si="265"/>
        <v>8.2923332790156685</v>
      </c>
      <c r="Y597" s="314" t="str">
        <f t="shared" ca="1" si="283"/>
        <v/>
      </c>
      <c r="Z597" s="315" t="str">
        <f t="shared" ca="1" si="284"/>
        <v/>
      </c>
      <c r="AA597" s="316" t="str">
        <f t="shared" ca="1" si="285"/>
        <v/>
      </c>
      <c r="AC597" s="310" t="e">
        <f t="shared" ca="1" si="286"/>
        <v>#N/A</v>
      </c>
      <c r="AD597" s="323" t="e">
        <f t="shared" ca="1" si="287"/>
        <v>#N/A</v>
      </c>
      <c r="AE597" s="324" t="e">
        <f t="shared" ca="1" si="266"/>
        <v>#N/A</v>
      </c>
      <c r="AG597" s="306">
        <f t="shared" ca="1" si="288"/>
        <v>8.4243523701360932</v>
      </c>
      <c r="AH597" s="304">
        <f t="shared" ca="1" si="289"/>
        <v>-1.0736532078652499</v>
      </c>
    </row>
    <row r="598" spans="1:34" x14ac:dyDescent="0.2">
      <c r="A598" s="347">
        <f t="shared" ca="1" si="267"/>
        <v>0.1</v>
      </c>
      <c r="B598" s="304">
        <f t="shared" ca="1" si="268"/>
        <v>23.40000000000002</v>
      </c>
      <c r="D598" s="306">
        <f t="shared" ca="1" si="269"/>
        <v>-0.2724439568231028</v>
      </c>
      <c r="E598" s="307">
        <f t="shared" ca="1" si="270"/>
        <v>-8.7357035503087683</v>
      </c>
      <c r="F598" s="304">
        <f t="shared" ca="1" si="271"/>
        <v>8.7399509282653671</v>
      </c>
      <c r="G598" s="306">
        <f t="shared" ca="1" si="272"/>
        <v>13.343812953414151</v>
      </c>
      <c r="H598" s="307">
        <f t="shared" ca="1" si="273"/>
        <v>-53.598099855529192</v>
      </c>
      <c r="I598" s="304">
        <f t="shared" ca="1" si="274"/>
        <v>55.234171056140433</v>
      </c>
      <c r="J598" s="306">
        <f t="shared" ca="1" si="275"/>
        <v>364.16436152642046</v>
      </c>
      <c r="K598" s="307">
        <f t="shared" ca="1" si="276"/>
        <v>1437.4937513337979</v>
      </c>
      <c r="L598" s="304">
        <f t="shared" ca="1" si="261"/>
        <v>1482.9038968623895</v>
      </c>
      <c r="M598" s="306">
        <f t="shared" ca="1" si="277"/>
        <v>-1.3267961991781301</v>
      </c>
      <c r="N598" s="304">
        <f t="shared" ca="1" si="278"/>
        <v>-76.019822486905795</v>
      </c>
      <c r="P598" s="310">
        <f t="shared" ca="1" si="279"/>
        <v>23</v>
      </c>
      <c r="Q598" s="304">
        <f t="shared" ca="1" si="280"/>
        <v>0</v>
      </c>
      <c r="R598" s="306">
        <f t="shared" ca="1" si="281"/>
        <v>0</v>
      </c>
      <c r="S598" s="307">
        <f t="shared" ca="1" si="282"/>
        <v>7.4819999999999904</v>
      </c>
      <c r="T598" s="304">
        <f t="shared" ca="1" si="262"/>
        <v>73.398419999999916</v>
      </c>
      <c r="U598" s="311">
        <f t="shared" ca="1" si="263"/>
        <v>0</v>
      </c>
      <c r="V598" s="306">
        <f t="shared" ca="1" si="264"/>
        <v>1.0607149519612722</v>
      </c>
      <c r="W598" s="304">
        <f t="shared" ca="1" si="265"/>
        <v>8.5551824427393068</v>
      </c>
      <c r="Y598" s="314" t="str">
        <f t="shared" ca="1" si="283"/>
        <v/>
      </c>
      <c r="Z598" s="315" t="str">
        <f t="shared" ca="1" si="284"/>
        <v/>
      </c>
      <c r="AA598" s="316" t="str">
        <f t="shared" ca="1" si="285"/>
        <v/>
      </c>
      <c r="AC598" s="310" t="e">
        <f t="shared" ca="1" si="286"/>
        <v>#N/A</v>
      </c>
      <c r="AD598" s="323" t="e">
        <f t="shared" ca="1" si="287"/>
        <v>#N/A</v>
      </c>
      <c r="AE598" s="324" t="e">
        <f t="shared" ca="1" si="266"/>
        <v>#N/A</v>
      </c>
      <c r="AG598" s="306">
        <f t="shared" ca="1" si="288"/>
        <v>8.4006793363937202</v>
      </c>
      <c r="AH598" s="304">
        <f t="shared" ca="1" si="289"/>
        <v>-1.1083043676845334</v>
      </c>
    </row>
    <row r="599" spans="1:34" x14ac:dyDescent="0.2">
      <c r="A599" s="347">
        <f t="shared" ca="1" si="267"/>
        <v>0.1</v>
      </c>
      <c r="B599" s="304">
        <f t="shared" ca="1" si="268"/>
        <v>23.500000000000021</v>
      </c>
      <c r="D599" s="306">
        <f t="shared" ca="1" si="269"/>
        <v>-0.27623816261278544</v>
      </c>
      <c r="E599" s="307">
        <f t="shared" ca="1" si="270"/>
        <v>-8.7004340404561979</v>
      </c>
      <c r="F599" s="304">
        <f t="shared" ca="1" si="271"/>
        <v>8.7048182068790307</v>
      </c>
      <c r="G599" s="306">
        <f t="shared" ca="1" si="272"/>
        <v>13.316189137152872</v>
      </c>
      <c r="H599" s="307">
        <f t="shared" ca="1" si="273"/>
        <v>-54.468143259574809</v>
      </c>
      <c r="I599" s="304">
        <f t="shared" ca="1" si="274"/>
        <v>56.07227053795836</v>
      </c>
      <c r="J599" s="306">
        <f t="shared" ca="1" si="275"/>
        <v>365.49736163094883</v>
      </c>
      <c r="K599" s="307">
        <f t="shared" ca="1" si="276"/>
        <v>1432.0904391780427</v>
      </c>
      <c r="L599" s="304">
        <f t="shared" ca="1" si="261"/>
        <v>1477.9957196637424</v>
      </c>
      <c r="M599" s="306">
        <f t="shared" ca="1" si="277"/>
        <v>-1.3310228294880895</v>
      </c>
      <c r="N599" s="304">
        <f t="shared" ca="1" si="278"/>
        <v>-76.261990565228544</v>
      </c>
      <c r="P599" s="310">
        <f t="shared" ca="1" si="279"/>
        <v>23</v>
      </c>
      <c r="Q599" s="304">
        <f t="shared" ca="1" si="280"/>
        <v>0</v>
      </c>
      <c r="R599" s="306">
        <f t="shared" ca="1" si="281"/>
        <v>0</v>
      </c>
      <c r="S599" s="307">
        <f t="shared" ca="1" si="282"/>
        <v>7.4819999999999904</v>
      </c>
      <c r="T599" s="304">
        <f t="shared" ca="1" si="262"/>
        <v>73.398419999999916</v>
      </c>
      <c r="U599" s="311">
        <f t="shared" ca="1" si="263"/>
        <v>0</v>
      </c>
      <c r="V599" s="306">
        <f t="shared" ca="1" si="264"/>
        <v>1.0612912107923727</v>
      </c>
      <c r="W599" s="304">
        <f t="shared" ca="1" si="265"/>
        <v>8.8215673844193141</v>
      </c>
      <c r="Y599" s="314" t="str">
        <f t="shared" ca="1" si="283"/>
        <v/>
      </c>
      <c r="Z599" s="315" t="str">
        <f t="shared" ca="1" si="284"/>
        <v/>
      </c>
      <c r="AA599" s="316" t="str">
        <f t="shared" ca="1" si="285"/>
        <v/>
      </c>
      <c r="AC599" s="310" t="e">
        <f t="shared" ca="1" si="286"/>
        <v>#N/A</v>
      </c>
      <c r="AD599" s="323" t="e">
        <f t="shared" ca="1" si="287"/>
        <v>#N/A</v>
      </c>
      <c r="AE599" s="324" t="e">
        <f t="shared" ca="1" si="266"/>
        <v>#N/A</v>
      </c>
      <c r="AG599" s="306">
        <f t="shared" ca="1" si="288"/>
        <v>8.375986337227463</v>
      </c>
      <c r="AH599" s="304">
        <f t="shared" ca="1" si="289"/>
        <v>-1.1434352369338836</v>
      </c>
    </row>
    <row r="600" spans="1:34" x14ac:dyDescent="0.2">
      <c r="A600" s="347">
        <f t="shared" ca="1" si="267"/>
        <v>0.1</v>
      </c>
      <c r="B600" s="304">
        <f t="shared" ca="1" si="268"/>
        <v>23.600000000000023</v>
      </c>
      <c r="D600" s="306">
        <f t="shared" ca="1" si="269"/>
        <v>-0.28000118200758178</v>
      </c>
      <c r="E600" s="307">
        <f t="shared" ca="1" si="270"/>
        <v>-8.6646915084070315</v>
      </c>
      <c r="F600" s="304">
        <f t="shared" ca="1" si="271"/>
        <v>8.6692144740908645</v>
      </c>
      <c r="G600" s="306">
        <f t="shared" ca="1" si="272"/>
        <v>13.288189018952114</v>
      </c>
      <c r="H600" s="307">
        <f t="shared" ca="1" si="273"/>
        <v>-55.334612410415509</v>
      </c>
      <c r="I600" s="304">
        <f t="shared" ca="1" si="274"/>
        <v>56.907778888428865</v>
      </c>
      <c r="J600" s="306">
        <f t="shared" ca="1" si="275"/>
        <v>366.82758053875409</v>
      </c>
      <c r="K600" s="307">
        <f t="shared" ca="1" si="276"/>
        <v>1426.6003013945433</v>
      </c>
      <c r="L600" s="304">
        <f t="shared" ca="1" si="261"/>
        <v>1473.0074316794596</v>
      </c>
      <c r="M600" s="306">
        <f t="shared" ca="1" si="277"/>
        <v>-1.3351166650827437</v>
      </c>
      <c r="N600" s="304">
        <f t="shared" ca="1" si="278"/>
        <v>-76.496550066822664</v>
      </c>
      <c r="P600" s="310">
        <f t="shared" ca="1" si="279"/>
        <v>23</v>
      </c>
      <c r="Q600" s="304">
        <f t="shared" ca="1" si="280"/>
        <v>0</v>
      </c>
      <c r="R600" s="306">
        <f t="shared" ca="1" si="281"/>
        <v>0</v>
      </c>
      <c r="S600" s="307">
        <f t="shared" ca="1" si="282"/>
        <v>7.4819999999999904</v>
      </c>
      <c r="T600" s="304">
        <f t="shared" ca="1" si="262"/>
        <v>73.398419999999916</v>
      </c>
      <c r="U600" s="311">
        <f t="shared" ca="1" si="263"/>
        <v>0</v>
      </c>
      <c r="V600" s="306">
        <f t="shared" ca="1" si="264"/>
        <v>1.0618770271880626</v>
      </c>
      <c r="W600" s="304">
        <f t="shared" ca="1" si="265"/>
        <v>9.0914341970984864</v>
      </c>
      <c r="Y600" s="314" t="str">
        <f t="shared" ca="1" si="283"/>
        <v/>
      </c>
      <c r="Z600" s="315" t="str">
        <f t="shared" ca="1" si="284"/>
        <v/>
      </c>
      <c r="AA600" s="316" t="str">
        <f t="shared" ca="1" si="285"/>
        <v/>
      </c>
      <c r="AC600" s="310" t="e">
        <f t="shared" ca="1" si="286"/>
        <v>#N/A</v>
      </c>
      <c r="AD600" s="323" t="e">
        <f t="shared" ca="1" si="287"/>
        <v>#N/A</v>
      </c>
      <c r="AE600" s="324" t="e">
        <f t="shared" ca="1" si="266"/>
        <v>#N/A</v>
      </c>
      <c r="AG600" s="306">
        <f t="shared" ca="1" si="288"/>
        <v>8.3503147846444339</v>
      </c>
      <c r="AH600" s="304">
        <f t="shared" ca="1" si="289"/>
        <v>-1.1790386774150394</v>
      </c>
    </row>
    <row r="601" spans="1:34" x14ac:dyDescent="0.2">
      <c r="A601" s="347">
        <f t="shared" ca="1" si="267"/>
        <v>0.1</v>
      </c>
      <c r="B601" s="304">
        <f t="shared" ca="1" si="268"/>
        <v>23.700000000000024</v>
      </c>
      <c r="D601" s="306">
        <f t="shared" ca="1" si="269"/>
        <v>-0.28373235161061483</v>
      </c>
      <c r="E601" s="307">
        <f t="shared" ca="1" si="270"/>
        <v>-8.6284831144201171</v>
      </c>
      <c r="F601" s="304">
        <f t="shared" ca="1" si="271"/>
        <v>8.6331468714011557</v>
      </c>
      <c r="G601" s="306">
        <f t="shared" ca="1" si="272"/>
        <v>13.259815783791053</v>
      </c>
      <c r="H601" s="307">
        <f t="shared" ca="1" si="273"/>
        <v>-56.197460721857524</v>
      </c>
      <c r="I601" s="304">
        <f t="shared" ca="1" si="274"/>
        <v>57.740603618292674</v>
      </c>
      <c r="J601" s="306">
        <f t="shared" ca="1" si="275"/>
        <v>368.15498077889123</v>
      </c>
      <c r="K601" s="307">
        <f t="shared" ca="1" si="276"/>
        <v>1421.0236977379298</v>
      </c>
      <c r="L601" s="304">
        <f t="shared" ca="1" si="261"/>
        <v>1467.9395217123508</v>
      </c>
      <c r="M601" s="306">
        <f t="shared" ca="1" si="277"/>
        <v>-1.3390838549737509</v>
      </c>
      <c r="N601" s="304">
        <f t="shared" ca="1" si="278"/>
        <v>-76.723853304104338</v>
      </c>
      <c r="P601" s="310">
        <f t="shared" ca="1" si="279"/>
        <v>23</v>
      </c>
      <c r="Q601" s="304">
        <f t="shared" ca="1" si="280"/>
        <v>0</v>
      </c>
      <c r="R601" s="306">
        <f t="shared" ca="1" si="281"/>
        <v>0</v>
      </c>
      <c r="S601" s="307">
        <f t="shared" ca="1" si="282"/>
        <v>7.4819999999999904</v>
      </c>
      <c r="T601" s="304">
        <f t="shared" ca="1" si="262"/>
        <v>73.398419999999916</v>
      </c>
      <c r="U601" s="311">
        <f t="shared" ca="1" si="263"/>
        <v>0</v>
      </c>
      <c r="V601" s="306">
        <f t="shared" ca="1" si="264"/>
        <v>1.0624723772036362</v>
      </c>
      <c r="W601" s="304">
        <f t="shared" ca="1" si="265"/>
        <v>9.3647284951922014</v>
      </c>
      <c r="Y601" s="314" t="str">
        <f t="shared" ca="1" si="283"/>
        <v/>
      </c>
      <c r="Z601" s="315" t="str">
        <f t="shared" ca="1" si="284"/>
        <v/>
      </c>
      <c r="AA601" s="316" t="str">
        <f t="shared" ca="1" si="285"/>
        <v/>
      </c>
      <c r="AC601" s="310" t="e">
        <f t="shared" ca="1" si="286"/>
        <v>#N/A</v>
      </c>
      <c r="AD601" s="323" t="e">
        <f t="shared" ca="1" si="287"/>
        <v>#N/A</v>
      </c>
      <c r="AE601" s="324" t="e">
        <f t="shared" ca="1" si="266"/>
        <v>#N/A</v>
      </c>
      <c r="AG601" s="306">
        <f t="shared" ca="1" si="288"/>
        <v>8.3237035245382458</v>
      </c>
      <c r="AH601" s="304">
        <f t="shared" ca="1" si="289"/>
        <v>-1.2151074842419805</v>
      </c>
    </row>
    <row r="602" spans="1:34" x14ac:dyDescent="0.2">
      <c r="A602" s="347">
        <f t="shared" ca="1" si="267"/>
        <v>0.1</v>
      </c>
      <c r="B602" s="304">
        <f t="shared" ca="1" si="268"/>
        <v>23.800000000000026</v>
      </c>
      <c r="D602" s="306">
        <f t="shared" ca="1" si="269"/>
        <v>-0.28743103433164274</v>
      </c>
      <c r="E602" s="307">
        <f t="shared" ca="1" si="270"/>
        <v>-8.5918160881359409</v>
      </c>
      <c r="F602" s="304">
        <f t="shared" ca="1" si="271"/>
        <v>8.5966226095978264</v>
      </c>
      <c r="G602" s="306">
        <f t="shared" ca="1" si="272"/>
        <v>13.231072680357888</v>
      </c>
      <c r="H602" s="307">
        <f t="shared" ca="1" si="273"/>
        <v>-57.056642330671117</v>
      </c>
      <c r="I602" s="304">
        <f t="shared" ca="1" si="274"/>
        <v>58.570655778495805</v>
      </c>
      <c r="J602" s="306">
        <f t="shared" ca="1" si="275"/>
        <v>369.47952520209867</v>
      </c>
      <c r="K602" s="307">
        <f t="shared" ca="1" si="276"/>
        <v>1415.3609925853034</v>
      </c>
      <c r="L602" s="304">
        <f t="shared" ca="1" si="261"/>
        <v>1462.7924866075923</v>
      </c>
      <c r="M602" s="306">
        <f t="shared" ca="1" si="277"/>
        <v>-1.3429301816105372</v>
      </c>
      <c r="N602" s="304">
        <f t="shared" ca="1" si="278"/>
        <v>-76.944231587020937</v>
      </c>
      <c r="P602" s="310">
        <f t="shared" ca="1" si="279"/>
        <v>23</v>
      </c>
      <c r="Q602" s="304">
        <f t="shared" ca="1" si="280"/>
        <v>0</v>
      </c>
      <c r="R602" s="306">
        <f t="shared" ca="1" si="281"/>
        <v>0</v>
      </c>
      <c r="S602" s="307">
        <f t="shared" ca="1" si="282"/>
        <v>7.4819999999999904</v>
      </c>
      <c r="T602" s="304">
        <f t="shared" ca="1" si="262"/>
        <v>73.398419999999916</v>
      </c>
      <c r="U602" s="311">
        <f t="shared" ca="1" si="263"/>
        <v>0</v>
      </c>
      <c r="V602" s="306">
        <f t="shared" ca="1" si="264"/>
        <v>1.0630772365670327</v>
      </c>
      <c r="W602" s="304">
        <f t="shared" ca="1" si="265"/>
        <v>9.6413954348969728</v>
      </c>
      <c r="Y602" s="314" t="str">
        <f t="shared" ca="1" si="283"/>
        <v/>
      </c>
      <c r="Z602" s="315" t="str">
        <f t="shared" ca="1" si="284"/>
        <v/>
      </c>
      <c r="AA602" s="316" t="str">
        <f t="shared" ca="1" si="285"/>
        <v/>
      </c>
      <c r="AC602" s="310" t="e">
        <f t="shared" ca="1" si="286"/>
        <v>#N/A</v>
      </c>
      <c r="AD602" s="323" t="e">
        <f t="shared" ca="1" si="287"/>
        <v>#N/A</v>
      </c>
      <c r="AE602" s="324" t="e">
        <f t="shared" ca="1" si="266"/>
        <v>#N/A</v>
      </c>
      <c r="AG602" s="306">
        <f t="shared" ca="1" si="288"/>
        <v>8.2961890690193894</v>
      </c>
      <c r="AH602" s="304">
        <f t="shared" ca="1" si="289"/>
        <v>-1.251634388558168</v>
      </c>
    </row>
    <row r="603" spans="1:34" x14ac:dyDescent="0.2">
      <c r="A603" s="347">
        <f t="shared" ca="1" si="267"/>
        <v>0.1</v>
      </c>
      <c r="B603" s="304">
        <f t="shared" ca="1" si="268"/>
        <v>23.900000000000027</v>
      </c>
      <c r="D603" s="306">
        <f t="shared" ca="1" si="269"/>
        <v>-0.29109661825575084</v>
      </c>
      <c r="E603" s="307">
        <f t="shared" ca="1" si="270"/>
        <v>-8.5546977253671166</v>
      </c>
      <c r="F603" s="304">
        <f t="shared" ca="1" si="271"/>
        <v>8.5596489655570132</v>
      </c>
      <c r="G603" s="306">
        <f t="shared" ca="1" si="272"/>
        <v>13.201963018532313</v>
      </c>
      <c r="H603" s="307">
        <f t="shared" ca="1" si="273"/>
        <v>-57.912112103207832</v>
      </c>
      <c r="I603" s="304">
        <f t="shared" ca="1" si="274"/>
        <v>59.397849757354059</v>
      </c>
      <c r="J603" s="306">
        <f t="shared" ca="1" si="275"/>
        <v>370.80117698704316</v>
      </c>
      <c r="K603" s="307">
        <f t="shared" ca="1" si="276"/>
        <v>1409.6125548636094</v>
      </c>
      <c r="L603" s="304">
        <f t="shared" ca="1" si="261"/>
        <v>1457.5668312925102</v>
      </c>
      <c r="M603" s="306">
        <f t="shared" ca="1" si="277"/>
        <v>-1.3466610872048577</v>
      </c>
      <c r="N603" s="304">
        <f t="shared" ca="1" si="278"/>
        <v>-77.157996731337249</v>
      </c>
      <c r="P603" s="310">
        <f t="shared" ca="1" si="279"/>
        <v>23</v>
      </c>
      <c r="Q603" s="304">
        <f t="shared" ca="1" si="280"/>
        <v>0</v>
      </c>
      <c r="R603" s="306">
        <f t="shared" ca="1" si="281"/>
        <v>0</v>
      </c>
      <c r="S603" s="307">
        <f t="shared" ca="1" si="282"/>
        <v>7.4819999999999904</v>
      </c>
      <c r="T603" s="304">
        <f t="shared" ca="1" si="262"/>
        <v>73.398419999999916</v>
      </c>
      <c r="U603" s="311">
        <f t="shared" ca="1" si="263"/>
        <v>0</v>
      </c>
      <c r="V603" s="306">
        <f t="shared" ca="1" si="264"/>
        <v>1.063691580682935</v>
      </c>
      <c r="W603" s="304">
        <f t="shared" ca="1" si="265"/>
        <v>9.9213797346641268</v>
      </c>
      <c r="Y603" s="314" t="str">
        <f t="shared" ca="1" si="283"/>
        <v/>
      </c>
      <c r="Z603" s="315" t="str">
        <f t="shared" ca="1" si="284"/>
        <v/>
      </c>
      <c r="AA603" s="316" t="str">
        <f t="shared" ca="1" si="285"/>
        <v/>
      </c>
      <c r="AC603" s="310" t="e">
        <f t="shared" ca="1" si="286"/>
        <v>#N/A</v>
      </c>
      <c r="AD603" s="323" t="e">
        <f t="shared" ca="1" si="287"/>
        <v>#N/A</v>
      </c>
      <c r="AE603" s="324" t="e">
        <f t="shared" ca="1" si="266"/>
        <v>#N/A</v>
      </c>
      <c r="AG603" s="306">
        <f t="shared" ca="1" si="288"/>
        <v>8.267805805034568</v>
      </c>
      <c r="AH603" s="304">
        <f t="shared" ca="1" si="289"/>
        <v>-1.2886120602642321</v>
      </c>
    </row>
    <row r="604" spans="1:34" x14ac:dyDescent="0.2">
      <c r="A604" s="347">
        <f t="shared" ca="1" si="267"/>
        <v>0.1</v>
      </c>
      <c r="B604" s="304">
        <f t="shared" ca="1" si="268"/>
        <v>24.000000000000028</v>
      </c>
      <c r="D604" s="306">
        <f t="shared" ca="1" si="269"/>
        <v>-0.29472851561198155</v>
      </c>
      <c r="E604" s="307">
        <f t="shared" ca="1" si="270"/>
        <v>-8.5171353849292473</v>
      </c>
      <c r="F604" s="304">
        <f t="shared" ca="1" si="271"/>
        <v>8.5222332790841104</v>
      </c>
      <c r="G604" s="306">
        <f t="shared" ca="1" si="272"/>
        <v>13.172490166971114</v>
      </c>
      <c r="H604" s="307">
        <f t="shared" ca="1" si="273"/>
        <v>-58.763825641700755</v>
      </c>
      <c r="I604" s="304">
        <f t="shared" ca="1" si="274"/>
        <v>60.22210309551766</v>
      </c>
      <c r="J604" s="306">
        <f t="shared" ca="1" si="275"/>
        <v>372.11989964631834</v>
      </c>
      <c r="K604" s="307">
        <f t="shared" ca="1" si="276"/>
        <v>1403.778757976364</v>
      </c>
      <c r="L604" s="304">
        <f t="shared" ca="1" si="261"/>
        <v>1452.2630688199879</v>
      </c>
      <c r="M604" s="306">
        <f t="shared" ca="1" si="277"/>
        <v>-1.3502816978716894</v>
      </c>
      <c r="N604" s="304">
        <f t="shared" ca="1" si="278"/>
        <v>-77.365442441806749</v>
      </c>
      <c r="P604" s="310">
        <f t="shared" ca="1" si="279"/>
        <v>23</v>
      </c>
      <c r="Q604" s="304">
        <f t="shared" ca="1" si="280"/>
        <v>0</v>
      </c>
      <c r="R604" s="306">
        <f t="shared" ca="1" si="281"/>
        <v>0</v>
      </c>
      <c r="S604" s="307">
        <f t="shared" ca="1" si="282"/>
        <v>7.4819999999999904</v>
      </c>
      <c r="T604" s="304">
        <f t="shared" ca="1" si="262"/>
        <v>73.398419999999916</v>
      </c>
      <c r="U604" s="311">
        <f t="shared" ca="1" si="263"/>
        <v>0</v>
      </c>
      <c r="V604" s="306">
        <f t="shared" ca="1" si="264"/>
        <v>1.0643153846369107</v>
      </c>
      <c r="W604" s="304">
        <f t="shared" ca="1" si="265"/>
        <v>10.204625695725682</v>
      </c>
      <c r="Y604" s="314" t="str">
        <f t="shared" ca="1" si="283"/>
        <v/>
      </c>
      <c r="Z604" s="315" t="str">
        <f t="shared" ca="1" si="284"/>
        <v/>
      </c>
      <c r="AA604" s="316" t="str">
        <f t="shared" ca="1" si="285"/>
        <v/>
      </c>
      <c r="AC604" s="310">
        <f t="shared" ca="1" si="286"/>
        <v>24.000000000000028</v>
      </c>
      <c r="AD604" s="323">
        <f t="shared" ca="1" si="287"/>
        <v>372.11989964631834</v>
      </c>
      <c r="AE604" s="324" t="e">
        <f t="shared" ca="1" si="266"/>
        <v>#N/A</v>
      </c>
      <c r="AG604" s="306">
        <f t="shared" ca="1" si="288"/>
        <v>8.2385861819184338</v>
      </c>
      <c r="AH604" s="304">
        <f t="shared" ca="1" si="289"/>
        <v>-1.3260331107543624</v>
      </c>
    </row>
    <row r="605" spans="1:34" x14ac:dyDescent="0.2">
      <c r="A605" s="347">
        <f t="shared" ca="1" si="267"/>
        <v>0.1</v>
      </c>
      <c r="B605" s="304">
        <f t="shared" ca="1" si="268"/>
        <v>24.10000000000003</v>
      </c>
      <c r="D605" s="306">
        <f t="shared" ca="1" si="269"/>
        <v>-0.29832616183149502</v>
      </c>
      <c r="E605" s="307">
        <f t="shared" ca="1" si="270"/>
        <v>-8.4791364855082065</v>
      </c>
      <c r="F605" s="304">
        <f t="shared" ca="1" si="271"/>
        <v>8.4843829497913141</v>
      </c>
      <c r="G605" s="306">
        <f t="shared" ca="1" si="272"/>
        <v>13.142657550787964</v>
      </c>
      <c r="H605" s="307">
        <f t="shared" ca="1" si="273"/>
        <v>-59.611739290251577</v>
      </c>
      <c r="I605" s="304">
        <f t="shared" ca="1" si="274"/>
        <v>61.043336316965899</v>
      </c>
      <c r="J605" s="306">
        <f t="shared" ca="1" si="275"/>
        <v>373.43565703220628</v>
      </c>
      <c r="K605" s="307">
        <f t="shared" ca="1" si="276"/>
        <v>1397.8599797297663</v>
      </c>
      <c r="L605" s="304">
        <f t="shared" ca="1" si="261"/>
        <v>1446.8817204157285</v>
      </c>
      <c r="M605" s="306">
        <f t="shared" ca="1" si="277"/>
        <v>-1.353796845789361</v>
      </c>
      <c r="N605" s="304">
        <f t="shared" ca="1" si="278"/>
        <v>-77.566845581853542</v>
      </c>
      <c r="P605" s="310">
        <f t="shared" ca="1" si="279"/>
        <v>23</v>
      </c>
      <c r="Q605" s="304">
        <f t="shared" ca="1" si="280"/>
        <v>0</v>
      </c>
      <c r="R605" s="306">
        <f t="shared" ca="1" si="281"/>
        <v>0</v>
      </c>
      <c r="S605" s="307">
        <f t="shared" ca="1" si="282"/>
        <v>7.4819999999999904</v>
      </c>
      <c r="T605" s="304">
        <f t="shared" ca="1" si="262"/>
        <v>73.398419999999916</v>
      </c>
      <c r="U605" s="311">
        <f t="shared" ca="1" si="263"/>
        <v>0</v>
      </c>
      <c r="V605" s="306">
        <f t="shared" ca="1" si="264"/>
        <v>1.0649486231996004</v>
      </c>
      <c r="W605" s="304">
        <f t="shared" ca="1" si="265"/>
        <v>10.49107722265976</v>
      </c>
      <c r="Y605" s="314" t="str">
        <f t="shared" ca="1" si="283"/>
        <v/>
      </c>
      <c r="Z605" s="315" t="str">
        <f t="shared" ca="1" si="284"/>
        <v/>
      </c>
      <c r="AA605" s="316" t="str">
        <f t="shared" ca="1" si="285"/>
        <v/>
      </c>
      <c r="AC605" s="310" t="e">
        <f t="shared" ca="1" si="286"/>
        <v>#N/A</v>
      </c>
      <c r="AD605" s="323" t="e">
        <f t="shared" ca="1" si="287"/>
        <v>#N/A</v>
      </c>
      <c r="AE605" s="324" t="e">
        <f t="shared" ca="1" si="266"/>
        <v>#N/A</v>
      </c>
      <c r="AG605" s="306">
        <f t="shared" ca="1" si="288"/>
        <v>8.2085608802012366</v>
      </c>
      <c r="AH605" s="304">
        <f t="shared" ca="1" si="289"/>
        <v>-1.3638900956596758</v>
      </c>
    </row>
    <row r="606" spans="1:34" x14ac:dyDescent="0.2">
      <c r="A606" s="347">
        <f t="shared" ca="1" si="267"/>
        <v>0.1</v>
      </c>
      <c r="B606" s="304">
        <f t="shared" ca="1" si="268"/>
        <v>24.200000000000031</v>
      </c>
      <c r="D606" s="306">
        <f t="shared" ca="1" si="269"/>
        <v>-0.30188901468599272</v>
      </c>
      <c r="E606" s="307">
        <f t="shared" ca="1" si="270"/>
        <v>-8.4407085025605522</v>
      </c>
      <c r="F606" s="304">
        <f t="shared" ca="1" si="271"/>
        <v>8.4461054340083912</v>
      </c>
      <c r="G606" s="306">
        <f t="shared" ca="1" si="272"/>
        <v>13.112468649319364</v>
      </c>
      <c r="H606" s="307">
        <f t="shared" ca="1" si="273"/>
        <v>-60.45581014050763</v>
      </c>
      <c r="I606" s="304">
        <f t="shared" ca="1" si="274"/>
        <v>61.861472774453794</v>
      </c>
      <c r="J606" s="306">
        <f t="shared" ca="1" si="275"/>
        <v>374.74841334221162</v>
      </c>
      <c r="K606" s="307">
        <f t="shared" ca="1" si="276"/>
        <v>1391.8566022582283</v>
      </c>
      <c r="L606" s="304">
        <f t="shared" ca="1" si="261"/>
        <v>1441.4233155295931</v>
      </c>
      <c r="M606" s="306">
        <f t="shared" ca="1" si="277"/>
        <v>-1.3572110895612142</v>
      </c>
      <c r="N606" s="304">
        <f t="shared" ca="1" si="278"/>
        <v>-77.762467340209554</v>
      </c>
      <c r="P606" s="310">
        <f t="shared" ca="1" si="279"/>
        <v>23</v>
      </c>
      <c r="Q606" s="304">
        <f t="shared" ca="1" si="280"/>
        <v>0</v>
      </c>
      <c r="R606" s="306">
        <f t="shared" ca="1" si="281"/>
        <v>0</v>
      </c>
      <c r="S606" s="307">
        <f t="shared" ca="1" si="282"/>
        <v>7.4819999999999904</v>
      </c>
      <c r="T606" s="304">
        <f t="shared" ca="1" si="262"/>
        <v>73.398419999999916</v>
      </c>
      <c r="U606" s="311">
        <f t="shared" ca="1" si="263"/>
        <v>0</v>
      </c>
      <c r="V606" s="306">
        <f t="shared" ca="1" si="264"/>
        <v>1.0655912708309443</v>
      </c>
      <c r="W606" s="304">
        <f t="shared" ca="1" si="265"/>
        <v>10.780677843982872</v>
      </c>
      <c r="Y606" s="314" t="str">
        <f t="shared" ca="1" si="283"/>
        <v/>
      </c>
      <c r="Z606" s="315" t="str">
        <f t="shared" ca="1" si="284"/>
        <v/>
      </c>
      <c r="AA606" s="316" t="str">
        <f t="shared" ca="1" si="285"/>
        <v/>
      </c>
      <c r="AC606" s="310" t="e">
        <f t="shared" ca="1" si="286"/>
        <v>#N/A</v>
      </c>
      <c r="AD606" s="323" t="e">
        <f t="shared" ca="1" si="287"/>
        <v>#N/A</v>
      </c>
      <c r="AE606" s="324" t="e">
        <f t="shared" ca="1" si="266"/>
        <v>#N/A</v>
      </c>
      <c r="AG606" s="306">
        <f t="shared" ca="1" si="288"/>
        <v>8.1777589637174479</v>
      </c>
      <c r="AH606" s="304">
        <f t="shared" ca="1" si="289"/>
        <v>-1.4021755175968689</v>
      </c>
    </row>
    <row r="607" spans="1:34" x14ac:dyDescent="0.2">
      <c r="A607" s="347">
        <f t="shared" ca="1" si="267"/>
        <v>0.1</v>
      </c>
      <c r="B607" s="304">
        <f t="shared" ca="1" si="268"/>
        <v>24.300000000000033</v>
      </c>
      <c r="D607" s="306">
        <f t="shared" ca="1" si="269"/>
        <v>-0.30541655349815272</v>
      </c>
      <c r="E607" s="307">
        <f t="shared" ca="1" si="270"/>
        <v>-8.4018589652444327</v>
      </c>
      <c r="F607" s="304">
        <f t="shared" ca="1" si="271"/>
        <v>8.4074082417240188</v>
      </c>
      <c r="G607" s="306">
        <f t="shared" ca="1" si="272"/>
        <v>13.081926993969549</v>
      </c>
      <c r="H607" s="307">
        <f t="shared" ca="1" si="273"/>
        <v>-61.295996037032076</v>
      </c>
      <c r="I607" s="304">
        <f t="shared" ca="1" si="274"/>
        <v>62.676438508002356</v>
      </c>
      <c r="J607" s="306">
        <f t="shared" ca="1" si="275"/>
        <v>376.05813312437607</v>
      </c>
      <c r="K607" s="307">
        <f t="shared" ca="1" si="276"/>
        <v>1385.7690119493514</v>
      </c>
      <c r="L607" s="304">
        <f t="shared" ca="1" si="261"/>
        <v>1435.8883918912613</v>
      </c>
      <c r="M607" s="306">
        <f t="shared" ca="1" si="277"/>
        <v>-1.3605287329427354</v>
      </c>
      <c r="N607" s="304">
        <f t="shared" ca="1" si="278"/>
        <v>-77.952554303900229</v>
      </c>
      <c r="P607" s="310">
        <f t="shared" ca="1" si="279"/>
        <v>23</v>
      </c>
      <c r="Q607" s="304">
        <f t="shared" ca="1" si="280"/>
        <v>0</v>
      </c>
      <c r="R607" s="306">
        <f t="shared" ca="1" si="281"/>
        <v>0</v>
      </c>
      <c r="S607" s="307">
        <f t="shared" ca="1" si="282"/>
        <v>7.4819999999999904</v>
      </c>
      <c r="T607" s="304">
        <f t="shared" ca="1" si="262"/>
        <v>73.398419999999916</v>
      </c>
      <c r="U607" s="311">
        <f t="shared" ca="1" si="263"/>
        <v>0</v>
      </c>
      <c r="V607" s="306">
        <f t="shared" ca="1" si="264"/>
        <v>1.0662433016844579</v>
      </c>
      <c r="W607" s="304">
        <f t="shared" ca="1" si="265"/>
        <v>11.073370732756885</v>
      </c>
      <c r="Y607" s="314" t="str">
        <f t="shared" ca="1" si="283"/>
        <v/>
      </c>
      <c r="Z607" s="315" t="str">
        <f t="shared" ca="1" si="284"/>
        <v/>
      </c>
      <c r="AA607" s="316" t="str">
        <f t="shared" ca="1" si="285"/>
        <v/>
      </c>
      <c r="AC607" s="310" t="e">
        <f t="shared" ca="1" si="286"/>
        <v>#N/A</v>
      </c>
      <c r="AD607" s="323" t="e">
        <f t="shared" ca="1" si="287"/>
        <v>#N/A</v>
      </c>
      <c r="AE607" s="324" t="e">
        <f t="shared" ca="1" si="266"/>
        <v>#N/A</v>
      </c>
      <c r="AG607" s="306">
        <f t="shared" ca="1" si="288"/>
        <v>8.1462080168178019</v>
      </c>
      <c r="AH607" s="304">
        <f t="shared" ca="1" si="289"/>
        <v>-1.4408818289204606</v>
      </c>
    </row>
    <row r="608" spans="1:34" x14ac:dyDescent="0.2">
      <c r="A608" s="347">
        <f t="shared" ca="1" si="267"/>
        <v>0.1</v>
      </c>
      <c r="B608" s="304">
        <f t="shared" ca="1" si="268"/>
        <v>24.400000000000034</v>
      </c>
      <c r="D608" s="306">
        <f t="shared" ca="1" si="269"/>
        <v>-0.30890827841671797</v>
      </c>
      <c r="E608" s="307">
        <f t="shared" ca="1" si="270"/>
        <v>-8.3625954533788445</v>
      </c>
      <c r="F608" s="304">
        <f t="shared" ca="1" si="271"/>
        <v>8.3682989335555469</v>
      </c>
      <c r="G608" s="306">
        <f t="shared" ca="1" si="272"/>
        <v>13.051036166127878</v>
      </c>
      <c r="H608" s="307">
        <f t="shared" ca="1" si="273"/>
        <v>-62.132255582369957</v>
      </c>
      <c r="I608" s="304">
        <f t="shared" ca="1" si="274"/>
        <v>63.48816211517326</v>
      </c>
      <c r="J608" s="306">
        <f t="shared" ca="1" si="275"/>
        <v>377.36478128238093</v>
      </c>
      <c r="K608" s="307">
        <f t="shared" ca="1" si="276"/>
        <v>1379.5975993683812</v>
      </c>
      <c r="L608" s="304">
        <f t="shared" ca="1" si="261"/>
        <v>1430.2774955704574</v>
      </c>
      <c r="M608" s="306">
        <f t="shared" ca="1" si="277"/>
        <v>-1.3637538420817059</v>
      </c>
      <c r="N608" s="304">
        <f t="shared" ca="1" si="278"/>
        <v>-78.137339446032314</v>
      </c>
      <c r="P608" s="310">
        <f t="shared" ca="1" si="279"/>
        <v>23</v>
      </c>
      <c r="Q608" s="304">
        <f t="shared" ca="1" si="280"/>
        <v>0</v>
      </c>
      <c r="R608" s="306">
        <f t="shared" ca="1" si="281"/>
        <v>0</v>
      </c>
      <c r="S608" s="307">
        <f t="shared" ca="1" si="282"/>
        <v>7.4819999999999904</v>
      </c>
      <c r="T608" s="304">
        <f t="shared" ca="1" si="262"/>
        <v>73.398419999999916</v>
      </c>
      <c r="U608" s="311">
        <f t="shared" ca="1" si="263"/>
        <v>0</v>
      </c>
      <c r="V608" s="306">
        <f t="shared" ca="1" si="264"/>
        <v>1.0669046896115393</v>
      </c>
      <c r="W608" s="304">
        <f t="shared" ca="1" si="265"/>
        <v>11.369098727198203</v>
      </c>
      <c r="Y608" s="314" t="str">
        <f t="shared" ca="1" si="283"/>
        <v/>
      </c>
      <c r="Z608" s="315" t="str">
        <f t="shared" ca="1" si="284"/>
        <v/>
      </c>
      <c r="AA608" s="316" t="str">
        <f t="shared" ca="1" si="285"/>
        <v/>
      </c>
      <c r="AC608" s="310" t="e">
        <f t="shared" ca="1" si="286"/>
        <v>#N/A</v>
      </c>
      <c r="AD608" s="323" t="e">
        <f t="shared" ca="1" si="287"/>
        <v>#N/A</v>
      </c>
      <c r="AE608" s="324" t="e">
        <f t="shared" ca="1" si="266"/>
        <v>#N/A</v>
      </c>
      <c r="AG608" s="306">
        <f t="shared" ca="1" si="288"/>
        <v>8.1139342682753295</v>
      </c>
      <c r="AH608" s="304">
        <f t="shared" ca="1" si="289"/>
        <v>-1.4800014344769981</v>
      </c>
    </row>
    <row r="609" spans="1:34" x14ac:dyDescent="0.2">
      <c r="A609" s="347">
        <f t="shared" ca="1" si="267"/>
        <v>0.1</v>
      </c>
      <c r="B609" s="304">
        <f t="shared" ca="1" si="268"/>
        <v>24.500000000000036</v>
      </c>
      <c r="D609" s="306">
        <f t="shared" ca="1" si="269"/>
        <v>-0.31236370974966016</v>
      </c>
      <c r="E609" s="307">
        <f t="shared" ca="1" si="270"/>
        <v>-8.322925594429547</v>
      </c>
      <c r="F609" s="304">
        <f t="shared" ca="1" si="271"/>
        <v>8.3287851177455039</v>
      </c>
      <c r="G609" s="306">
        <f t="shared" ca="1" si="272"/>
        <v>13.019799795152911</v>
      </c>
      <c r="H609" s="307">
        <f t="shared" ca="1" si="273"/>
        <v>-62.964548141812912</v>
      </c>
      <c r="I609" s="304">
        <f t="shared" ca="1" si="274"/>
        <v>64.296574632001509</v>
      </c>
      <c r="J609" s="306">
        <f t="shared" ca="1" si="275"/>
        <v>378.66832308044496</v>
      </c>
      <c r="K609" s="307">
        <f t="shared" ca="1" si="276"/>
        <v>1373.3427591821721</v>
      </c>
      <c r="L609" s="304">
        <f t="shared" ca="1" si="261"/>
        <v>1424.5911810420062</v>
      </c>
      <c r="M609" s="306">
        <f t="shared" ca="1" si="277"/>
        <v>-1.3668902614042955</v>
      </c>
      <c r="N609" s="304">
        <f t="shared" ca="1" si="278"/>
        <v>-78.317043035999973</v>
      </c>
      <c r="P609" s="310">
        <f t="shared" ca="1" si="279"/>
        <v>23</v>
      </c>
      <c r="Q609" s="304">
        <f t="shared" ca="1" si="280"/>
        <v>0</v>
      </c>
      <c r="R609" s="306">
        <f t="shared" ca="1" si="281"/>
        <v>0</v>
      </c>
      <c r="S609" s="307">
        <f t="shared" ca="1" si="282"/>
        <v>7.4819999999999904</v>
      </c>
      <c r="T609" s="304">
        <f t="shared" ca="1" si="262"/>
        <v>73.398419999999916</v>
      </c>
      <c r="U609" s="311">
        <f t="shared" ca="1" si="263"/>
        <v>0</v>
      </c>
      <c r="V609" s="306">
        <f t="shared" ca="1" si="264"/>
        <v>1.0675754081658184</v>
      </c>
      <c r="W609" s="304">
        <f t="shared" ca="1" si="265"/>
        <v>11.667804351277281</v>
      </c>
      <c r="Y609" s="314" t="str">
        <f t="shared" ca="1" si="283"/>
        <v/>
      </c>
      <c r="Z609" s="315" t="str">
        <f t="shared" ca="1" si="284"/>
        <v/>
      </c>
      <c r="AA609" s="316" t="str">
        <f t="shared" ca="1" si="285"/>
        <v/>
      </c>
      <c r="AC609" s="310" t="e">
        <f t="shared" ca="1" si="286"/>
        <v>#N/A</v>
      </c>
      <c r="AD609" s="323" t="e">
        <f t="shared" ca="1" si="287"/>
        <v>#N/A</v>
      </c>
      <c r="AE609" s="324" t="e">
        <f t="shared" ca="1" si="266"/>
        <v>#N/A</v>
      </c>
      <c r="AG609" s="306">
        <f t="shared" ca="1" si="288"/>
        <v>8.0809627032911351</v>
      </c>
      <c r="AH609" s="304">
        <f t="shared" ca="1" si="289"/>
        <v>-1.5195266943595587</v>
      </c>
    </row>
    <row r="610" spans="1:34" x14ac:dyDescent="0.2">
      <c r="A610" s="347">
        <f t="shared" ca="1" si="267"/>
        <v>0.1</v>
      </c>
      <c r="B610" s="304">
        <f t="shared" ca="1" si="268"/>
        <v>24.600000000000037</v>
      </c>
      <c r="D610" s="306">
        <f t="shared" ca="1" si="269"/>
        <v>-0.31578238734954417</v>
      </c>
      <c r="E610" s="307">
        <f t="shared" ca="1" si="270"/>
        <v>-8.2828570605203016</v>
      </c>
      <c r="F610" s="304">
        <f t="shared" ca="1" si="271"/>
        <v>8.2888744471834777</v>
      </c>
      <c r="G610" s="306">
        <f t="shared" ca="1" si="272"/>
        <v>12.988221556417956</v>
      </c>
      <c r="H610" s="307">
        <f t="shared" ca="1" si="273"/>
        <v>-63.792833847864941</v>
      </c>
      <c r="I610" s="304">
        <f t="shared" ca="1" si="274"/>
        <v>65.101609423576491</v>
      </c>
      <c r="J610" s="306">
        <f t="shared" ca="1" si="275"/>
        <v>379.96872414802351</v>
      </c>
      <c r="K610" s="307">
        <f t="shared" ca="1" si="276"/>
        <v>1367.0048900826882</v>
      </c>
      <c r="L610" s="304">
        <f t="shared" ca="1" si="261"/>
        <v>1418.8300112559853</v>
      </c>
      <c r="M610" s="306">
        <f t="shared" ca="1" si="277"/>
        <v>-1.3699416282669534</v>
      </c>
      <c r="N610" s="304">
        <f t="shared" ca="1" si="278"/>
        <v>-78.491873478976345</v>
      </c>
      <c r="P610" s="310">
        <f t="shared" ca="1" si="279"/>
        <v>23</v>
      </c>
      <c r="Q610" s="304">
        <f t="shared" ca="1" si="280"/>
        <v>0</v>
      </c>
      <c r="R610" s="306">
        <f t="shared" ca="1" si="281"/>
        <v>0</v>
      </c>
      <c r="S610" s="307">
        <f t="shared" ca="1" si="282"/>
        <v>7.4819999999999904</v>
      </c>
      <c r="T610" s="304">
        <f t="shared" ca="1" si="262"/>
        <v>73.398419999999916</v>
      </c>
      <c r="U610" s="311">
        <f t="shared" ca="1" si="263"/>
        <v>0</v>
      </c>
      <c r="V610" s="306">
        <f t="shared" ca="1" si="264"/>
        <v>1.0682554306075407</v>
      </c>
      <c r="W610" s="304">
        <f t="shared" ca="1" si="265"/>
        <v>11.969429835296536</v>
      </c>
      <c r="Y610" s="314" t="str">
        <f t="shared" ca="1" si="283"/>
        <v/>
      </c>
      <c r="Z610" s="315" t="str">
        <f t="shared" ca="1" si="284"/>
        <v/>
      </c>
      <c r="AA610" s="316" t="str">
        <f t="shared" ca="1" si="285"/>
        <v/>
      </c>
      <c r="AC610" s="310" t="e">
        <f t="shared" ca="1" si="286"/>
        <v>#N/A</v>
      </c>
      <c r="AD610" s="323" t="e">
        <f t="shared" ca="1" si="287"/>
        <v>#N/A</v>
      </c>
      <c r="AE610" s="324" t="e">
        <f t="shared" ca="1" si="266"/>
        <v>#N/A</v>
      </c>
      <c r="AG610" s="306">
        <f t="shared" ca="1" si="288"/>
        <v>8.0473171648436921</v>
      </c>
      <c r="AH610" s="304">
        <f t="shared" ca="1" si="289"/>
        <v>-1.5594499266609592</v>
      </c>
    </row>
    <row r="611" spans="1:34" x14ac:dyDescent="0.2">
      <c r="A611" s="347">
        <f t="shared" ca="1" si="267"/>
        <v>0.1</v>
      </c>
      <c r="B611" s="304">
        <f t="shared" ca="1" si="268"/>
        <v>24.700000000000038</v>
      </c>
      <c r="D611" s="306">
        <f t="shared" ca="1" si="269"/>
        <v>-0.31916387004583491</v>
      </c>
      <c r="E611" s="307">
        <f t="shared" ca="1" si="270"/>
        <v>-8.2423975654684849</v>
      </c>
      <c r="F611" s="304">
        <f t="shared" ca="1" si="271"/>
        <v>8.2485746164524354</v>
      </c>
      <c r="G611" s="306">
        <f t="shared" ca="1" si="272"/>
        <v>12.956305169413373</v>
      </c>
      <c r="H611" s="307">
        <f t="shared" ca="1" si="273"/>
        <v>-64.617073604411786</v>
      </c>
      <c r="I611" s="304">
        <f t="shared" ca="1" si="274"/>
        <v>65.903202083365713</v>
      </c>
      <c r="J611" s="306">
        <f t="shared" ca="1" si="275"/>
        <v>381.26595048431506</v>
      </c>
      <c r="K611" s="307">
        <f t="shared" ca="1" si="276"/>
        <v>1360.5843947100743</v>
      </c>
      <c r="L611" s="304">
        <f t="shared" ca="1" si="261"/>
        <v>1412.9945577132587</v>
      </c>
      <c r="M611" s="306">
        <f t="shared" ca="1" si="277"/>
        <v>-1.3729113864822748</v>
      </c>
      <c r="N611" s="304">
        <f t="shared" ca="1" si="278"/>
        <v>-78.662028090888569</v>
      </c>
      <c r="P611" s="310">
        <f t="shared" ca="1" si="279"/>
        <v>23</v>
      </c>
      <c r="Q611" s="304">
        <f t="shared" ca="1" si="280"/>
        <v>0</v>
      </c>
      <c r="R611" s="306">
        <f t="shared" ca="1" si="281"/>
        <v>0</v>
      </c>
      <c r="S611" s="307">
        <f t="shared" ca="1" si="282"/>
        <v>7.4819999999999904</v>
      </c>
      <c r="T611" s="304">
        <f t="shared" ca="1" si="262"/>
        <v>73.398419999999916</v>
      </c>
      <c r="U611" s="311">
        <f t="shared" ca="1" si="263"/>
        <v>0</v>
      </c>
      <c r="V611" s="306">
        <f t="shared" ca="1" si="264"/>
        <v>1.0689447299079888</v>
      </c>
      <c r="W611" s="304">
        <f t="shared" ca="1" si="265"/>
        <v>12.27391713643491</v>
      </c>
      <c r="Y611" s="314" t="str">
        <f t="shared" ca="1" si="283"/>
        <v/>
      </c>
      <c r="Z611" s="315" t="str">
        <f t="shared" ca="1" si="284"/>
        <v/>
      </c>
      <c r="AA611" s="316" t="str">
        <f t="shared" ca="1" si="285"/>
        <v/>
      </c>
      <c r="AC611" s="310" t="e">
        <f t="shared" ca="1" si="286"/>
        <v>#N/A</v>
      </c>
      <c r="AD611" s="323" t="e">
        <f t="shared" ca="1" si="287"/>
        <v>#N/A</v>
      </c>
      <c r="AE611" s="324" t="e">
        <f t="shared" ca="1" si="266"/>
        <v>#N/A</v>
      </c>
      <c r="AG611" s="306">
        <f t="shared" ca="1" si="288"/>
        <v>8.0130204454837894</v>
      </c>
      <c r="AH611" s="304">
        <f t="shared" ca="1" si="289"/>
        <v>-1.5997634102240779</v>
      </c>
    </row>
    <row r="612" spans="1:34" x14ac:dyDescent="0.2">
      <c r="A612" s="347">
        <f t="shared" ca="1" si="267"/>
        <v>0.1</v>
      </c>
      <c r="B612" s="304">
        <f t="shared" ca="1" si="268"/>
        <v>24.80000000000004</v>
      </c>
      <c r="D612" s="306">
        <f t="shared" ca="1" si="269"/>
        <v>-0.32250773511942782</v>
      </c>
      <c r="E612" s="307">
        <f t="shared" ca="1" si="270"/>
        <v>-8.2015548618443237</v>
      </c>
      <c r="F612" s="304">
        <f t="shared" ca="1" si="271"/>
        <v>8.2078933588987457</v>
      </c>
      <c r="G612" s="306">
        <f t="shared" ca="1" si="272"/>
        <v>12.924054395901431</v>
      </c>
      <c r="H612" s="307">
        <f t="shared" ca="1" si="273"/>
        <v>-65.437229090596219</v>
      </c>
      <c r="I612" s="304">
        <f t="shared" ca="1" si="274"/>
        <v>66.701290340467864</v>
      </c>
      <c r="J612" s="306">
        <f t="shared" ca="1" si="275"/>
        <v>382.5599684625808</v>
      </c>
      <c r="K612" s="307">
        <f t="shared" ca="1" si="276"/>
        <v>1354.081679575324</v>
      </c>
      <c r="L612" s="304">
        <f t="shared" ca="1" si="261"/>
        <v>1407.0854005466838</v>
      </c>
      <c r="M612" s="306">
        <f t="shared" ca="1" si="277"/>
        <v>-1.3758027988165584</v>
      </c>
      <c r="N612" s="304">
        <f t="shared" ca="1" si="278"/>
        <v>-78.827693814475083</v>
      </c>
      <c r="P612" s="310">
        <f t="shared" ca="1" si="279"/>
        <v>23</v>
      </c>
      <c r="Q612" s="304">
        <f t="shared" ca="1" si="280"/>
        <v>0</v>
      </c>
      <c r="R612" s="306">
        <f t="shared" ca="1" si="281"/>
        <v>0</v>
      </c>
      <c r="S612" s="307">
        <f t="shared" ca="1" si="282"/>
        <v>7.4819999999999904</v>
      </c>
      <c r="T612" s="304">
        <f t="shared" ca="1" si="262"/>
        <v>73.398419999999916</v>
      </c>
      <c r="U612" s="311">
        <f t="shared" ca="1" si="263"/>
        <v>0</v>
      </c>
      <c r="V612" s="306">
        <f t="shared" ca="1" si="264"/>
        <v>1.0696432787539325</v>
      </c>
      <c r="W612" s="304">
        <f t="shared" ca="1" si="265"/>
        <v>12.581207959247577</v>
      </c>
      <c r="Y612" s="314" t="str">
        <f t="shared" ca="1" si="283"/>
        <v/>
      </c>
      <c r="Z612" s="315" t="str">
        <f t="shared" ca="1" si="284"/>
        <v/>
      </c>
      <c r="AA612" s="316" t="str">
        <f t="shared" ca="1" si="285"/>
        <v/>
      </c>
      <c r="AC612" s="310" t="e">
        <f t="shared" ca="1" si="286"/>
        <v>#N/A</v>
      </c>
      <c r="AD612" s="323" t="e">
        <f t="shared" ca="1" si="287"/>
        <v>#N/A</v>
      </c>
      <c r="AE612" s="324" t="e">
        <f t="shared" ca="1" si="266"/>
        <v>#N/A</v>
      </c>
      <c r="AG612" s="306">
        <f t="shared" ca="1" si="288"/>
        <v>7.9780943705529355</v>
      </c>
      <c r="AH612" s="304">
        <f t="shared" ca="1" si="289"/>
        <v>-1.6404593873877207</v>
      </c>
    </row>
    <row r="613" spans="1:34" x14ac:dyDescent="0.2">
      <c r="A613" s="347">
        <f t="shared" ca="1" si="267"/>
        <v>0.1</v>
      </c>
      <c r="B613" s="304">
        <f t="shared" ca="1" si="268"/>
        <v>24.900000000000041</v>
      </c>
      <c r="D613" s="306">
        <f t="shared" ca="1" si="269"/>
        <v>-0.32581357781517967</v>
      </c>
      <c r="E613" s="307">
        <f t="shared" ca="1" si="270"/>
        <v>-8.1603367380533491</v>
      </c>
      <c r="F613" s="304">
        <f t="shared" ca="1" si="271"/>
        <v>8.1668384437254478</v>
      </c>
      <c r="G613" s="306">
        <f t="shared" ca="1" si="272"/>
        <v>12.891473038119912</v>
      </c>
      <c r="H613" s="307">
        <f t="shared" ca="1" si="273"/>
        <v>-66.253262764401555</v>
      </c>
      <c r="I613" s="304">
        <f t="shared" ca="1" si="274"/>
        <v>67.49581397406368</v>
      </c>
      <c r="J613" s="306">
        <f t="shared" ca="1" si="275"/>
        <v>383.85074483428184</v>
      </c>
      <c r="K613" s="307">
        <f t="shared" ca="1" si="276"/>
        <v>1347.4971549825741</v>
      </c>
      <c r="L613" s="304">
        <f t="shared" ca="1" si="261"/>
        <v>1401.1031286082991</v>
      </c>
      <c r="M613" s="306">
        <f t="shared" ca="1" si="277"/>
        <v>-1.3786189585474156</v>
      </c>
      <c r="N613" s="304">
        <f t="shared" ca="1" si="278"/>
        <v>-78.989047881487906</v>
      </c>
      <c r="P613" s="310">
        <f t="shared" ca="1" si="279"/>
        <v>23</v>
      </c>
      <c r="Q613" s="304">
        <f t="shared" ca="1" si="280"/>
        <v>0</v>
      </c>
      <c r="R613" s="306">
        <f t="shared" ca="1" si="281"/>
        <v>0</v>
      </c>
      <c r="S613" s="307">
        <f t="shared" ca="1" si="282"/>
        <v>7.4819999999999904</v>
      </c>
      <c r="T613" s="304">
        <f t="shared" ca="1" si="262"/>
        <v>73.398419999999916</v>
      </c>
      <c r="U613" s="311">
        <f t="shared" ca="1" si="263"/>
        <v>0</v>
      </c>
      <c r="V613" s="306">
        <f t="shared" ca="1" si="264"/>
        <v>1.0703510495521131</v>
      </c>
      <c r="W613" s="304">
        <f t="shared" ca="1" si="265"/>
        <v>12.891243776109386</v>
      </c>
      <c r="Y613" s="314" t="str">
        <f t="shared" ca="1" si="283"/>
        <v/>
      </c>
      <c r="Z613" s="315" t="str">
        <f t="shared" ca="1" si="284"/>
        <v/>
      </c>
      <c r="AA613" s="316" t="str">
        <f t="shared" ca="1" si="285"/>
        <v/>
      </c>
      <c r="AC613" s="310" t="e">
        <f t="shared" ca="1" si="286"/>
        <v>#N/A</v>
      </c>
      <c r="AD613" s="323" t="e">
        <f t="shared" ca="1" si="287"/>
        <v>#N/A</v>
      </c>
      <c r="AE613" s="324" t="e">
        <f t="shared" ca="1" si="266"/>
        <v>#N/A</v>
      </c>
      <c r="AG613" s="306">
        <f t="shared" ca="1" si="288"/>
        <v>7.9425598736937868</v>
      </c>
      <c r="AH613" s="304">
        <f t="shared" ca="1" si="289"/>
        <v>-1.6815300667264892</v>
      </c>
    </row>
    <row r="614" spans="1:34" x14ac:dyDescent="0.2">
      <c r="A614" s="347">
        <f t="shared" ca="1" si="267"/>
        <v>0.1</v>
      </c>
      <c r="B614" s="304">
        <f t="shared" ca="1" si="268"/>
        <v>25.000000000000043</v>
      </c>
      <c r="D614" s="306">
        <f t="shared" ca="1" si="269"/>
        <v>-0.32908101088864383</v>
      </c>
      <c r="E614" s="307">
        <f t="shared" ca="1" si="270"/>
        <v>-8.1187510154417613</v>
      </c>
      <c r="F614" s="304">
        <f t="shared" ca="1" si="271"/>
        <v>8.1254176731085099</v>
      </c>
      <c r="G614" s="306">
        <f t="shared" ca="1" si="272"/>
        <v>12.858564937031048</v>
      </c>
      <c r="H614" s="307">
        <f t="shared" ca="1" si="273"/>
        <v>-67.065137865945729</v>
      </c>
      <c r="I614" s="304">
        <f t="shared" ca="1" si="274"/>
        <v>68.286714734406075</v>
      </c>
      <c r="J614" s="306">
        <f t="shared" ca="1" si="275"/>
        <v>385.13824673303941</v>
      </c>
      <c r="K614" s="307">
        <f t="shared" ca="1" si="276"/>
        <v>1340.8312349510568</v>
      </c>
      <c r="L614" s="304">
        <f t="shared" ca="1" si="261"/>
        <v>1395.048339562818</v>
      </c>
      <c r="M614" s="306">
        <f t="shared" ca="1" si="277"/>
        <v>-1.3813628001614002</v>
      </c>
      <c r="N614" s="304">
        <f t="shared" ca="1" si="278"/>
        <v>-79.146258425621582</v>
      </c>
      <c r="P614" s="310">
        <f t="shared" ca="1" si="279"/>
        <v>23</v>
      </c>
      <c r="Q614" s="304">
        <f t="shared" ca="1" si="280"/>
        <v>0</v>
      </c>
      <c r="R614" s="306">
        <f t="shared" ca="1" si="281"/>
        <v>0</v>
      </c>
      <c r="S614" s="307">
        <f t="shared" ca="1" si="282"/>
        <v>7.4819999999999904</v>
      </c>
      <c r="T614" s="304">
        <f t="shared" ca="1" si="262"/>
        <v>73.398419999999916</v>
      </c>
      <c r="U614" s="311">
        <f t="shared" ca="1" si="263"/>
        <v>0</v>
      </c>
      <c r="V614" s="306">
        <f t="shared" ca="1" si="264"/>
        <v>1.0710680144337583</v>
      </c>
      <c r="W614" s="304">
        <f t="shared" ca="1" si="265"/>
        <v>13.203965847590942</v>
      </c>
      <c r="Y614" s="314" t="str">
        <f t="shared" ca="1" si="283"/>
        <v/>
      </c>
      <c r="Z614" s="315" t="str">
        <f t="shared" ca="1" si="284"/>
        <v/>
      </c>
      <c r="AA614" s="316" t="str">
        <f t="shared" ca="1" si="285"/>
        <v/>
      </c>
      <c r="AC614" s="310">
        <f t="shared" ca="1" si="286"/>
        <v>25.000000000000043</v>
      </c>
      <c r="AD614" s="323">
        <f t="shared" ca="1" si="287"/>
        <v>385.13824673303941</v>
      </c>
      <c r="AE614" s="324" t="e">
        <f t="shared" ca="1" si="266"/>
        <v>#N/A</v>
      </c>
      <c r="AG614" s="306">
        <f t="shared" ca="1" si="288"/>
        <v>7.9064370654252825</v>
      </c>
      <c r="AH614" s="304">
        <f t="shared" ca="1" si="289"/>
        <v>-1.7229676257831332</v>
      </c>
    </row>
    <row r="615" spans="1:34" x14ac:dyDescent="0.2">
      <c r="A615" s="347">
        <f t="shared" ca="1" si="267"/>
        <v>0.1</v>
      </c>
      <c r="B615" s="304">
        <f t="shared" ca="1" si="268"/>
        <v>25.100000000000044</v>
      </c>
      <c r="D615" s="306">
        <f t="shared" ca="1" si="269"/>
        <v>-0.33230966418359792</v>
      </c>
      <c r="E615" s="307">
        <f t="shared" ca="1" si="270"/>
        <v>-8.0768055454246603</v>
      </c>
      <c r="F615" s="304">
        <f t="shared" ca="1" si="271"/>
        <v>8.0836388793359859</v>
      </c>
      <c r="G615" s="306">
        <f t="shared" ca="1" si="272"/>
        <v>12.825333970612688</v>
      </c>
      <c r="H615" s="307">
        <f t="shared" ca="1" si="273"/>
        <v>-67.872818420488201</v>
      </c>
      <c r="I615" s="304">
        <f t="shared" ca="1" si="274"/>
        <v>69.073936269756004</v>
      </c>
      <c r="J615" s="306">
        <f t="shared" ca="1" si="275"/>
        <v>386.42244167842159</v>
      </c>
      <c r="K615" s="307">
        <f t="shared" ca="1" si="276"/>
        <v>1334.084337136735</v>
      </c>
      <c r="L615" s="304">
        <f t="shared" ca="1" si="261"/>
        <v>1388.9216399877548</v>
      </c>
      <c r="M615" s="306">
        <f t="shared" ca="1" si="277"/>
        <v>-1.3840371092641053</v>
      </c>
      <c r="N615" s="304">
        <f t="shared" ca="1" si="278"/>
        <v>-79.299485050320001</v>
      </c>
      <c r="P615" s="310">
        <f t="shared" ca="1" si="279"/>
        <v>23</v>
      </c>
      <c r="Q615" s="304">
        <f t="shared" ca="1" si="280"/>
        <v>0</v>
      </c>
      <c r="R615" s="306">
        <f t="shared" ca="1" si="281"/>
        <v>0</v>
      </c>
      <c r="S615" s="307">
        <f t="shared" ca="1" si="282"/>
        <v>7.4819999999999904</v>
      </c>
      <c r="T615" s="304">
        <f t="shared" ca="1" si="262"/>
        <v>73.398419999999916</v>
      </c>
      <c r="U615" s="311">
        <f t="shared" ca="1" si="263"/>
        <v>0</v>
      </c>
      <c r="V615" s="306">
        <f t="shared" ca="1" si="264"/>
        <v>1.0717941452591229</v>
      </c>
      <c r="W615" s="304">
        <f t="shared" ca="1" si="265"/>
        <v>13.519315242756232</v>
      </c>
      <c r="Y615" s="314" t="str">
        <f t="shared" ca="1" si="283"/>
        <v/>
      </c>
      <c r="Z615" s="315" t="str">
        <f t="shared" ca="1" si="284"/>
        <v/>
      </c>
      <c r="AA615" s="316" t="str">
        <f t="shared" ca="1" si="285"/>
        <v/>
      </c>
      <c r="AC615" s="310" t="e">
        <f t="shared" ca="1" si="286"/>
        <v>#N/A</v>
      </c>
      <c r="AD615" s="323" t="e">
        <f t="shared" ca="1" si="287"/>
        <v>#N/A</v>
      </c>
      <c r="AE615" s="324" t="e">
        <f t="shared" ca="1" si="266"/>
        <v>#N/A</v>
      </c>
      <c r="AG615" s="306">
        <f t="shared" ca="1" si="288"/>
        <v>7.8697452954705573</v>
      </c>
      <c r="AH615" s="304">
        <f t="shared" ca="1" si="289"/>
        <v>-1.7647642137918951</v>
      </c>
    </row>
    <row r="616" spans="1:34" x14ac:dyDescent="0.2">
      <c r="A616" s="347">
        <f t="shared" ca="1" si="267"/>
        <v>0.1</v>
      </c>
      <c r="B616" s="304">
        <f t="shared" ca="1" si="268"/>
        <v>25.200000000000045</v>
      </c>
      <c r="D616" s="306">
        <f t="shared" ca="1" si="269"/>
        <v>-0.33549918423729214</v>
      </c>
      <c r="E616" s="307">
        <f t="shared" ca="1" si="270"/>
        <v>-8.0345082066372253</v>
      </c>
      <c r="F616" s="304">
        <f t="shared" ca="1" si="271"/>
        <v>8.041509921970178</v>
      </c>
      <c r="G616" s="306">
        <f t="shared" ca="1" si="272"/>
        <v>12.791784052188959</v>
      </c>
      <c r="H616" s="307">
        <f t="shared" ca="1" si="273"/>
        <v>-68.676269241151928</v>
      </c>
      <c r="I616" s="304">
        <f t="shared" ca="1" si="274"/>
        <v>69.85742405872854</v>
      </c>
      <c r="J616" s="306">
        <f t="shared" ca="1" si="275"/>
        <v>387.70329757956165</v>
      </c>
      <c r="K616" s="307">
        <f t="shared" ca="1" si="276"/>
        <v>1327.2568827536529</v>
      </c>
      <c r="L616" s="304">
        <f t="shared" ca="1" si="261"/>
        <v>1382.7236454805459</v>
      </c>
      <c r="M616" s="306">
        <f t="shared" ca="1" si="277"/>
        <v>-1.3866445317684055</v>
      </c>
      <c r="N616" s="304">
        <f t="shared" ca="1" si="278"/>
        <v>-79.448879355223838</v>
      </c>
      <c r="P616" s="310">
        <f t="shared" ca="1" si="279"/>
        <v>23</v>
      </c>
      <c r="Q616" s="304">
        <f t="shared" ca="1" si="280"/>
        <v>0</v>
      </c>
      <c r="R616" s="306">
        <f t="shared" ca="1" si="281"/>
        <v>0</v>
      </c>
      <c r="S616" s="307">
        <f t="shared" ca="1" si="282"/>
        <v>7.4819999999999904</v>
      </c>
      <c r="T616" s="304">
        <f t="shared" ca="1" si="262"/>
        <v>73.398419999999916</v>
      </c>
      <c r="U616" s="311">
        <f t="shared" ca="1" si="263"/>
        <v>0</v>
      </c>
      <c r="V616" s="306">
        <f t="shared" ca="1" si="264"/>
        <v>1.0725294136220582</v>
      </c>
      <c r="W616" s="304">
        <f t="shared" ca="1" si="265"/>
        <v>13.837232859371053</v>
      </c>
      <c r="Y616" s="314" t="str">
        <f t="shared" ca="1" si="283"/>
        <v/>
      </c>
      <c r="Z616" s="315" t="str">
        <f t="shared" ca="1" si="284"/>
        <v/>
      </c>
      <c r="AA616" s="316" t="str">
        <f t="shared" ca="1" si="285"/>
        <v/>
      </c>
      <c r="AC616" s="310" t="e">
        <f t="shared" ca="1" si="286"/>
        <v>#N/A</v>
      </c>
      <c r="AD616" s="323" t="e">
        <f t="shared" ca="1" si="287"/>
        <v>#N/A</v>
      </c>
      <c r="AE616" s="324" t="e">
        <f t="shared" ca="1" si="266"/>
        <v>#N/A</v>
      </c>
      <c r="AG616" s="306">
        <f t="shared" ca="1" si="288"/>
        <v>7.8325032094513123</v>
      </c>
      <c r="AH616" s="304">
        <f t="shared" ca="1" si="289"/>
        <v>-1.8069119543913725</v>
      </c>
    </row>
    <row r="617" spans="1:34" x14ac:dyDescent="0.2">
      <c r="A617" s="347">
        <f t="shared" ca="1" si="267"/>
        <v>0.1</v>
      </c>
      <c r="B617" s="304">
        <f t="shared" ca="1" si="268"/>
        <v>25.300000000000047</v>
      </c>
      <c r="D617" s="306">
        <f t="shared" ca="1" si="269"/>
        <v>-0.33864923391066409</v>
      </c>
      <c r="E617" s="307">
        <f t="shared" ca="1" si="270"/>
        <v>-7.9918669021090309</v>
      </c>
      <c r="F617" s="304">
        <f t="shared" ca="1" si="271"/>
        <v>7.9990386850329758</v>
      </c>
      <c r="G617" s="306">
        <f t="shared" ca="1" si="272"/>
        <v>12.757919128797893</v>
      </c>
      <c r="H617" s="307">
        <f t="shared" ca="1" si="273"/>
        <v>-69.475455931362831</v>
      </c>
      <c r="I617" s="304">
        <f t="shared" ca="1" si="274"/>
        <v>70.637125347565544</v>
      </c>
      <c r="J617" s="306">
        <f t="shared" ca="1" si="275"/>
        <v>388.98078273861097</v>
      </c>
      <c r="K617" s="307">
        <f t="shared" ca="1" si="276"/>
        <v>1320.3492964950271</v>
      </c>
      <c r="L617" s="304">
        <f t="shared" ca="1" si="261"/>
        <v>1376.4549807730202</v>
      </c>
      <c r="M617" s="306">
        <f t="shared" ca="1" si="277"/>
        <v>-1.3891875824204671</v>
      </c>
      <c r="N617" s="304">
        <f t="shared" ca="1" si="278"/>
        <v>-79.59458542467496</v>
      </c>
      <c r="P617" s="310">
        <f t="shared" ca="1" si="279"/>
        <v>23</v>
      </c>
      <c r="Q617" s="304">
        <f t="shared" ca="1" si="280"/>
        <v>0</v>
      </c>
      <c r="R617" s="306">
        <f t="shared" ca="1" si="281"/>
        <v>0</v>
      </c>
      <c r="S617" s="307">
        <f t="shared" ca="1" si="282"/>
        <v>7.4819999999999904</v>
      </c>
      <c r="T617" s="304">
        <f t="shared" ca="1" si="262"/>
        <v>73.398419999999916</v>
      </c>
      <c r="U617" s="311">
        <f t="shared" ca="1" si="263"/>
        <v>0</v>
      </c>
      <c r="V617" s="306">
        <f t="shared" ca="1" si="264"/>
        <v>1.0732737908546079</v>
      </c>
      <c r="W617" s="304">
        <f t="shared" ca="1" si="265"/>
        <v>14.157659444011655</v>
      </c>
      <c r="Y617" s="314" t="str">
        <f t="shared" ca="1" si="283"/>
        <v/>
      </c>
      <c r="Z617" s="315" t="str">
        <f t="shared" ca="1" si="284"/>
        <v/>
      </c>
      <c r="AA617" s="316" t="str">
        <f t="shared" ca="1" si="285"/>
        <v/>
      </c>
      <c r="AC617" s="310" t="e">
        <f t="shared" ca="1" si="286"/>
        <v>#N/A</v>
      </c>
      <c r="AD617" s="323" t="e">
        <f t="shared" ca="1" si="287"/>
        <v>#N/A</v>
      </c>
      <c r="AE617" s="324" t="e">
        <f t="shared" ca="1" si="266"/>
        <v>#N/A</v>
      </c>
      <c r="AG617" s="306">
        <f t="shared" ca="1" si="288"/>
        <v>7.7947288004964683</v>
      </c>
      <c r="AH617" s="304">
        <f t="shared" ca="1" si="289"/>
        <v>-1.8494029483254573</v>
      </c>
    </row>
    <row r="618" spans="1:34" x14ac:dyDescent="0.2">
      <c r="A618" s="347">
        <f t="shared" ca="1" si="267"/>
        <v>0.1</v>
      </c>
      <c r="B618" s="304">
        <f t="shared" ca="1" si="268"/>
        <v>25.400000000000048</v>
      </c>
      <c r="D618" s="306">
        <f t="shared" ca="1" si="269"/>
        <v>-0.34175949204102618</v>
      </c>
      <c r="E618" s="307">
        <f t="shared" ca="1" si="270"/>
        <v>-7.9488895564618236</v>
      </c>
      <c r="F618" s="304">
        <f t="shared" ca="1" si="271"/>
        <v>7.9562330742147056</v>
      </c>
      <c r="G618" s="306">
        <f t="shared" ca="1" si="272"/>
        <v>12.723743179593789</v>
      </c>
      <c r="H618" s="307">
        <f t="shared" ca="1" si="273"/>
        <v>-70.270344887009017</v>
      </c>
      <c r="I618" s="304">
        <f t="shared" ca="1" si="274"/>
        <v>71.412989091897373</v>
      </c>
      <c r="J618" s="306">
        <f t="shared" ca="1" si="275"/>
        <v>390.25486585403053</v>
      </c>
      <c r="K618" s="307">
        <f t="shared" ca="1" si="276"/>
        <v>1313.3620064541085</v>
      </c>
      <c r="L618" s="304">
        <f t="shared" ca="1" si="261"/>
        <v>1370.116279853615</v>
      </c>
      <c r="M618" s="306">
        <f t="shared" ca="1" si="277"/>
        <v>-1.3916686527176783</v>
      </c>
      <c r="N618" s="304">
        <f t="shared" ca="1" si="278"/>
        <v>-79.736740281380435</v>
      </c>
      <c r="P618" s="310">
        <f t="shared" ca="1" si="279"/>
        <v>23</v>
      </c>
      <c r="Q618" s="304">
        <f t="shared" ca="1" si="280"/>
        <v>0</v>
      </c>
      <c r="R618" s="306">
        <f t="shared" ca="1" si="281"/>
        <v>0</v>
      </c>
      <c r="S618" s="307">
        <f t="shared" ca="1" si="282"/>
        <v>7.4819999999999904</v>
      </c>
      <c r="T618" s="304">
        <f t="shared" ca="1" si="262"/>
        <v>73.398419999999916</v>
      </c>
      <c r="U618" s="311">
        <f t="shared" ca="1" si="263"/>
        <v>0</v>
      </c>
      <c r="V618" s="306">
        <f t="shared" ca="1" si="264"/>
        <v>1.0740272480316257</v>
      </c>
      <c r="W618" s="304">
        <f t="shared" ca="1" si="265"/>
        <v>14.48053561206309</v>
      </c>
      <c r="Y618" s="314" t="str">
        <f t="shared" ca="1" si="283"/>
        <v/>
      </c>
      <c r="Z618" s="315" t="str">
        <f t="shared" ca="1" si="284"/>
        <v/>
      </c>
      <c r="AA618" s="316" t="str">
        <f t="shared" ca="1" si="285"/>
        <v/>
      </c>
      <c r="AC618" s="310" t="e">
        <f t="shared" ca="1" si="286"/>
        <v>#N/A</v>
      </c>
      <c r="AD618" s="323" t="e">
        <f t="shared" ca="1" si="287"/>
        <v>#N/A</v>
      </c>
      <c r="AE618" s="324" t="e">
        <f t="shared" ca="1" si="266"/>
        <v>#N/A</v>
      </c>
      <c r="AG618" s="306">
        <f t="shared" ca="1" si="288"/>
        <v>7.7564394562548262</v>
      </c>
      <c r="AH618" s="304">
        <f t="shared" ca="1" si="289"/>
        <v>-1.8922292761309374</v>
      </c>
    </row>
    <row r="619" spans="1:34" x14ac:dyDescent="0.2">
      <c r="A619" s="347">
        <f t="shared" ca="1" si="267"/>
        <v>0.1</v>
      </c>
      <c r="B619" s="304">
        <f t="shared" ca="1" si="268"/>
        <v>25.50000000000005</v>
      </c>
      <c r="D619" s="306">
        <f t="shared" ca="1" si="269"/>
        <v>-0.34482965311497643</v>
      </c>
      <c r="E619" s="307">
        <f t="shared" ca="1" si="270"/>
        <v>-7.9055841131311908</v>
      </c>
      <c r="F619" s="304">
        <f t="shared" ca="1" si="271"/>
        <v>7.9131010141069016</v>
      </c>
      <c r="G619" s="306">
        <f t="shared" ca="1" si="272"/>
        <v>12.689260214282292</v>
      </c>
      <c r="H619" s="307">
        <f t="shared" ca="1" si="273"/>
        <v>-71.060903298322131</v>
      </c>
      <c r="I619" s="304">
        <f t="shared" ca="1" si="274"/>
        <v>72.184965902598137</v>
      </c>
      <c r="J619" s="306">
        <f t="shared" ca="1" si="275"/>
        <v>391.52551602372432</v>
      </c>
      <c r="K619" s="307">
        <f t="shared" ca="1" si="276"/>
        <v>1306.295444044842</v>
      </c>
      <c r="L619" s="304">
        <f t="shared" ca="1" si="261"/>
        <v>1363.7081860977278</v>
      </c>
      <c r="M619" s="306">
        <f t="shared" ca="1" si="277"/>
        <v>-1.3940900182677318</v>
      </c>
      <c r="N619" s="304">
        <f t="shared" ca="1" si="278"/>
        <v>-79.875474308056866</v>
      </c>
      <c r="P619" s="310">
        <f t="shared" ca="1" si="279"/>
        <v>23</v>
      </c>
      <c r="Q619" s="304">
        <f t="shared" ca="1" si="280"/>
        <v>0</v>
      </c>
      <c r="R619" s="306">
        <f t="shared" ca="1" si="281"/>
        <v>0</v>
      </c>
      <c r="S619" s="307">
        <f t="shared" ca="1" si="282"/>
        <v>7.4819999999999904</v>
      </c>
      <c r="T619" s="304">
        <f t="shared" ca="1" si="262"/>
        <v>73.398419999999916</v>
      </c>
      <c r="U619" s="311">
        <f t="shared" ca="1" si="263"/>
        <v>0</v>
      </c>
      <c r="V619" s="306">
        <f t="shared" ca="1" si="264"/>
        <v>1.0747897559754158</v>
      </c>
      <c r="W619" s="304">
        <f t="shared" ca="1" si="265"/>
        <v>14.805801867597209</v>
      </c>
      <c r="Y619" s="314" t="str">
        <f t="shared" ca="1" si="283"/>
        <v/>
      </c>
      <c r="Z619" s="315" t="str">
        <f t="shared" ca="1" si="284"/>
        <v/>
      </c>
      <c r="AA619" s="316" t="str">
        <f t="shared" ca="1" si="285"/>
        <v/>
      </c>
      <c r="AC619" s="310" t="e">
        <f t="shared" ca="1" si="286"/>
        <v>#N/A</v>
      </c>
      <c r="AD619" s="323" t="e">
        <f t="shared" ca="1" si="287"/>
        <v>#N/A</v>
      </c>
      <c r="AE619" s="324" t="e">
        <f t="shared" ca="1" si="266"/>
        <v>#N/A</v>
      </c>
      <c r="AG619" s="306">
        <f t="shared" ca="1" si="288"/>
        <v>7.7176520017501673</v>
      </c>
      <c r="AH619" s="304">
        <f t="shared" ca="1" si="289"/>
        <v>-1.9353830008103592</v>
      </c>
    </row>
    <row r="620" spans="1:34" x14ac:dyDescent="0.2">
      <c r="A620" s="347">
        <f t="shared" ca="1" si="267"/>
        <v>0.1</v>
      </c>
      <c r="B620" s="304">
        <f t="shared" ca="1" si="268"/>
        <v>25.600000000000051</v>
      </c>
      <c r="D620" s="306">
        <f t="shared" ca="1" si="269"/>
        <v>-0.34785942695952415</v>
      </c>
      <c r="E620" s="307">
        <f t="shared" ca="1" si="270"/>
        <v>-7.8619585316125837</v>
      </c>
      <c r="F620" s="304">
        <f t="shared" ca="1" si="271"/>
        <v>7.8696504454594747</v>
      </c>
      <c r="G620" s="306">
        <f t="shared" ca="1" si="272"/>
        <v>12.65447427158634</v>
      </c>
      <c r="H620" s="307">
        <f t="shared" ca="1" si="273"/>
        <v>-71.847099151483391</v>
      </c>
      <c r="I620" s="304">
        <f t="shared" ca="1" si="274"/>
        <v>72.953007995375529</v>
      </c>
      <c r="J620" s="306">
        <f t="shared" ca="1" si="275"/>
        <v>392.79270274801775</v>
      </c>
      <c r="K620" s="307">
        <f t="shared" ca="1" si="276"/>
        <v>1299.1500439223519</v>
      </c>
      <c r="L620" s="304">
        <f t="shared" ca="1" si="261"/>
        <v>1357.2313524066344</v>
      </c>
      <c r="M620" s="306">
        <f t="shared" ca="1" si="277"/>
        <v>-1.396453845633679</v>
      </c>
      <c r="N620" s="304">
        <f t="shared" ca="1" si="278"/>
        <v>-80.010911639623174</v>
      </c>
      <c r="P620" s="310">
        <f t="shared" ca="1" si="279"/>
        <v>23</v>
      </c>
      <c r="Q620" s="304">
        <f t="shared" ca="1" si="280"/>
        <v>0</v>
      </c>
      <c r="R620" s="306">
        <f t="shared" ca="1" si="281"/>
        <v>0</v>
      </c>
      <c r="S620" s="307">
        <f t="shared" ca="1" si="282"/>
        <v>7.4819999999999904</v>
      </c>
      <c r="T620" s="304">
        <f t="shared" ca="1" si="262"/>
        <v>73.398419999999916</v>
      </c>
      <c r="U620" s="311">
        <f t="shared" ca="1" si="263"/>
        <v>0</v>
      </c>
      <c r="V620" s="306">
        <f t="shared" ca="1" si="264"/>
        <v>1.0755612852603949</v>
      </c>
      <c r="W620" s="304">
        <f t="shared" ca="1" si="265"/>
        <v>15.133398623120174</v>
      </c>
      <c r="Y620" s="314" t="str">
        <f t="shared" ca="1" si="283"/>
        <v/>
      </c>
      <c r="Z620" s="315" t="str">
        <f t="shared" ca="1" si="284"/>
        <v/>
      </c>
      <c r="AA620" s="316" t="str">
        <f t="shared" ca="1" si="285"/>
        <v/>
      </c>
      <c r="AC620" s="310" t="e">
        <f t="shared" ca="1" si="286"/>
        <v>#N/A</v>
      </c>
      <c r="AD620" s="323" t="e">
        <f t="shared" ca="1" si="287"/>
        <v>#N/A</v>
      </c>
      <c r="AE620" s="324" t="e">
        <f t="shared" ca="1" si="266"/>
        <v>#N/A</v>
      </c>
      <c r="AG620" s="306">
        <f t="shared" ca="1" si="288"/>
        <v>7.678382738471452</v>
      </c>
      <c r="AH620" s="304">
        <f t="shared" ca="1" si="289"/>
        <v>-1.9788561704888035</v>
      </c>
    </row>
    <row r="621" spans="1:34" x14ac:dyDescent="0.2">
      <c r="A621" s="347">
        <f t="shared" ca="1" si="267"/>
        <v>0.1</v>
      </c>
      <c r="B621" s="304">
        <f t="shared" ca="1" si="268"/>
        <v>25.700000000000053</v>
      </c>
      <c r="D621" s="306">
        <f t="shared" ca="1" si="269"/>
        <v>-0.35084853844958275</v>
      </c>
      <c r="E621" s="307">
        <f t="shared" ca="1" si="270"/>
        <v>-7.8180207847322718</v>
      </c>
      <c r="F621" s="304">
        <f t="shared" ca="1" si="271"/>
        <v>7.8258893224628476</v>
      </c>
      <c r="G621" s="306">
        <f t="shared" ca="1" si="272"/>
        <v>12.619389417741381</v>
      </c>
      <c r="H621" s="307">
        <f t="shared" ca="1" si="273"/>
        <v>-72.628901229956625</v>
      </c>
      <c r="I621" s="304">
        <f t="shared" ca="1" si="274"/>
        <v>73.717069143770217</v>
      </c>
      <c r="J621" s="306">
        <f t="shared" ca="1" si="275"/>
        <v>394.05639593248412</v>
      </c>
      <c r="K621" s="307">
        <f t="shared" ca="1" si="276"/>
        <v>1291.9262439032798</v>
      </c>
      <c r="L621" s="304">
        <f t="shared" ca="1" si="261"/>
        <v>1350.6864413554076</v>
      </c>
      <c r="M621" s="306">
        <f t="shared" ca="1" si="277"/>
        <v>-1.3987621987057608</v>
      </c>
      <c r="N621" s="304">
        <f t="shared" ca="1" si="278"/>
        <v>-80.143170528279512</v>
      </c>
      <c r="P621" s="310">
        <f t="shared" ca="1" si="279"/>
        <v>23</v>
      </c>
      <c r="Q621" s="304">
        <f t="shared" ca="1" si="280"/>
        <v>0</v>
      </c>
      <c r="R621" s="306">
        <f t="shared" ca="1" si="281"/>
        <v>0</v>
      </c>
      <c r="S621" s="307">
        <f t="shared" ca="1" si="282"/>
        <v>7.4819999999999904</v>
      </c>
      <c r="T621" s="304">
        <f t="shared" ca="1" si="262"/>
        <v>73.398419999999916</v>
      </c>
      <c r="U621" s="311">
        <f t="shared" ca="1" si="263"/>
        <v>0</v>
      </c>
      <c r="V621" s="306">
        <f t="shared" ca="1" si="264"/>
        <v>1.0763418062177743</v>
      </c>
      <c r="W621" s="304">
        <f t="shared" ca="1" si="265"/>
        <v>15.463266219179783</v>
      </c>
      <c r="Y621" s="314" t="str">
        <f t="shared" ca="1" si="283"/>
        <v/>
      </c>
      <c r="Z621" s="315" t="str">
        <f t="shared" ca="1" si="284"/>
        <v/>
      </c>
      <c r="AA621" s="316" t="str">
        <f t="shared" ca="1" si="285"/>
        <v/>
      </c>
      <c r="AC621" s="310" t="e">
        <f t="shared" ca="1" si="286"/>
        <v>#N/A</v>
      </c>
      <c r="AD621" s="323" t="e">
        <f t="shared" ca="1" si="287"/>
        <v>#N/A</v>
      </c>
      <c r="AE621" s="324" t="e">
        <f t="shared" ca="1" si="266"/>
        <v>#N/A</v>
      </c>
      <c r="AG621" s="306">
        <f t="shared" ca="1" si="288"/>
        <v>7.6386474800505608</v>
      </c>
      <c r="AH621" s="304">
        <f t="shared" ca="1" si="289"/>
        <v>-2.0226408210532201</v>
      </c>
    </row>
    <row r="622" spans="1:34" x14ac:dyDescent="0.2">
      <c r="A622" s="347">
        <f t="shared" ca="1" si="267"/>
        <v>0.1</v>
      </c>
      <c r="B622" s="304">
        <f t="shared" ca="1" si="268"/>
        <v>25.800000000000054</v>
      </c>
      <c r="D622" s="306">
        <f t="shared" ca="1" si="269"/>
        <v>-0.35379672723019367</v>
      </c>
      <c r="E622" s="307">
        <f t="shared" ca="1" si="270"/>
        <v>-7.7737788559438323</v>
      </c>
      <c r="F622" s="304">
        <f t="shared" ca="1" si="271"/>
        <v>7.7818256100556633</v>
      </c>
      <c r="G622" s="306">
        <f t="shared" ca="1" si="272"/>
        <v>12.584009745018362</v>
      </c>
      <c r="H622" s="307">
        <f t="shared" ca="1" si="273"/>
        <v>-73.406279115551015</v>
      </c>
      <c r="I622" s="304">
        <f t="shared" ca="1" si="274"/>
        <v>74.477104635269612</v>
      </c>
      <c r="J622" s="306">
        <f t="shared" ca="1" si="275"/>
        <v>395.31656589062209</v>
      </c>
      <c r="K622" s="307">
        <f t="shared" ca="1" si="276"/>
        <v>1284.6244848860044</v>
      </c>
      <c r="L622" s="304">
        <f t="shared" ca="1" si="261"/>
        <v>1344.0741253503047</v>
      </c>
      <c r="M622" s="306">
        <f t="shared" ca="1" si="277"/>
        <v>-1.4010170446372308</v>
      </c>
      <c r="N622" s="304">
        <f t="shared" ca="1" si="278"/>
        <v>-80.272363683604993</v>
      </c>
      <c r="P622" s="310">
        <f t="shared" ca="1" si="279"/>
        <v>23</v>
      </c>
      <c r="Q622" s="304">
        <f t="shared" ca="1" si="280"/>
        <v>0</v>
      </c>
      <c r="R622" s="306">
        <f t="shared" ca="1" si="281"/>
        <v>0</v>
      </c>
      <c r="S622" s="307">
        <f t="shared" ca="1" si="282"/>
        <v>7.4819999999999904</v>
      </c>
      <c r="T622" s="304">
        <f t="shared" ca="1" si="262"/>
        <v>73.398419999999916</v>
      </c>
      <c r="U622" s="311">
        <f t="shared" ca="1" si="263"/>
        <v>0</v>
      </c>
      <c r="V622" s="306">
        <f t="shared" ca="1" si="264"/>
        <v>1.0771312889402584</v>
      </c>
      <c r="W622" s="304">
        <f t="shared" ca="1" si="265"/>
        <v>15.795344943822998</v>
      </c>
      <c r="Y622" s="314" t="str">
        <f t="shared" ca="1" si="283"/>
        <v/>
      </c>
      <c r="Z622" s="315" t="str">
        <f t="shared" ca="1" si="284"/>
        <v/>
      </c>
      <c r="AA622" s="316" t="str">
        <f t="shared" ca="1" si="285"/>
        <v/>
      </c>
      <c r="AC622" s="310" t="e">
        <f t="shared" ca="1" si="286"/>
        <v>#N/A</v>
      </c>
      <c r="AD622" s="323" t="e">
        <f t="shared" ca="1" si="287"/>
        <v>#N/A</v>
      </c>
      <c r="AE622" s="324" t="e">
        <f t="shared" ca="1" si="266"/>
        <v>#N/A</v>
      </c>
      <c r="AG622" s="306">
        <f t="shared" ca="1" si="288"/>
        <v>7.5984615848440367</v>
      </c>
      <c r="AH622" s="304">
        <f t="shared" ca="1" si="289"/>
        <v>-2.0667289787730287</v>
      </c>
    </row>
    <row r="623" spans="1:34" x14ac:dyDescent="0.2">
      <c r="A623" s="347">
        <f t="shared" ca="1" si="267"/>
        <v>0.1</v>
      </c>
      <c r="B623" s="304">
        <f t="shared" ca="1" si="268"/>
        <v>25.900000000000055</v>
      </c>
      <c r="D623" s="306">
        <f t="shared" ca="1" si="269"/>
        <v>-0.35670374745198208</v>
      </c>
      <c r="E623" s="307">
        <f t="shared" ca="1" si="270"/>
        <v>-7.7292407366508291</v>
      </c>
      <c r="F623" s="304">
        <f t="shared" ca="1" si="271"/>
        <v>7.7374672812587022</v>
      </c>
      <c r="G623" s="306">
        <f t="shared" ca="1" si="272"/>
        <v>12.548339370273164</v>
      </c>
      <c r="H623" s="307">
        <f t="shared" ca="1" si="273"/>
        <v>-74.179203189216096</v>
      </c>
      <c r="I623" s="304">
        <f t="shared" ca="1" si="274"/>
        <v>75.233071230267839</v>
      </c>
      <c r="J623" s="306">
        <f t="shared" ca="1" si="275"/>
        <v>396.57318334638666</v>
      </c>
      <c r="K623" s="307">
        <f t="shared" ca="1" si="276"/>
        <v>1277.2452107707661</v>
      </c>
      <c r="L623" s="304">
        <f t="shared" ca="1" si="261"/>
        <v>1337.3950867960991</v>
      </c>
      <c r="M623" s="306">
        <f t="shared" ca="1" si="277"/>
        <v>-1.403220259378122</v>
      </c>
      <c r="N623" s="304">
        <f t="shared" ca="1" si="278"/>
        <v>-80.39859858961907</v>
      </c>
      <c r="P623" s="310">
        <f t="shared" ca="1" si="279"/>
        <v>23</v>
      </c>
      <c r="Q623" s="304">
        <f t="shared" ca="1" si="280"/>
        <v>0</v>
      </c>
      <c r="R623" s="306">
        <f t="shared" ca="1" si="281"/>
        <v>0</v>
      </c>
      <c r="S623" s="307">
        <f t="shared" ca="1" si="282"/>
        <v>7.4819999999999904</v>
      </c>
      <c r="T623" s="304">
        <f t="shared" ca="1" si="262"/>
        <v>73.398419999999916</v>
      </c>
      <c r="U623" s="311">
        <f t="shared" ca="1" si="263"/>
        <v>0</v>
      </c>
      <c r="V623" s="306">
        <f t="shared" ca="1" si="264"/>
        <v>1.0779297032867623</v>
      </c>
      <c r="W623" s="304">
        <f t="shared" ca="1" si="265"/>
        <v>16.129575051894459</v>
      </c>
      <c r="Y623" s="314" t="str">
        <f t="shared" ca="1" si="283"/>
        <v/>
      </c>
      <c r="Z623" s="315" t="str">
        <f t="shared" ca="1" si="284"/>
        <v/>
      </c>
      <c r="AA623" s="316" t="str">
        <f t="shared" ca="1" si="285"/>
        <v/>
      </c>
      <c r="AC623" s="310" t="e">
        <f t="shared" ca="1" si="286"/>
        <v>#N/A</v>
      </c>
      <c r="AD623" s="323" t="e">
        <f t="shared" ca="1" si="287"/>
        <v>#N/A</v>
      </c>
      <c r="AE623" s="324" t="e">
        <f t="shared" ca="1" si="266"/>
        <v>#N/A</v>
      </c>
      <c r="AG623" s="306">
        <f t="shared" ca="1" si="288"/>
        <v>7.5578399857034126</v>
      </c>
      <c r="AH623" s="304">
        <f t="shared" ca="1" si="289"/>
        <v>-2.1111126629006973</v>
      </c>
    </row>
    <row r="624" spans="1:34" x14ac:dyDescent="0.2">
      <c r="A624" s="347">
        <f t="shared" ca="1" si="267"/>
        <v>0.1</v>
      </c>
      <c r="B624" s="304">
        <f t="shared" ca="1" si="268"/>
        <v>26.000000000000057</v>
      </c>
      <c r="D624" s="306">
        <f t="shared" ca="1" si="269"/>
        <v>-0.35956936751849689</v>
      </c>
      <c r="E624" s="307">
        <f t="shared" ca="1" si="270"/>
        <v>-7.6844144235563618</v>
      </c>
      <c r="F624" s="304">
        <f t="shared" ca="1" si="271"/>
        <v>7.6928223145357197</v>
      </c>
      <c r="G624" s="306">
        <f t="shared" ca="1" si="272"/>
        <v>12.512382433521314</v>
      </c>
      <c r="H624" s="307">
        <f t="shared" ca="1" si="273"/>
        <v>-74.947644631571734</v>
      </c>
      <c r="I624" s="304">
        <f t="shared" ca="1" si="274"/>
        <v>75.984927123627998</v>
      </c>
      <c r="J624" s="306">
        <f t="shared" ca="1" si="275"/>
        <v>397.82621943657637</v>
      </c>
      <c r="K624" s="307">
        <f t="shared" ca="1" si="276"/>
        <v>1269.7888683797266</v>
      </c>
      <c r="L624" s="304">
        <f t="shared" ca="1" si="261"/>
        <v>1330.6500182738757</v>
      </c>
      <c r="M624" s="306">
        <f t="shared" ca="1" si="277"/>
        <v>-1.4053736328379631</v>
      </c>
      <c r="N624" s="304">
        <f t="shared" ca="1" si="278"/>
        <v>-80.521977800583443</v>
      </c>
      <c r="P624" s="310">
        <f t="shared" ca="1" si="279"/>
        <v>23</v>
      </c>
      <c r="Q624" s="304">
        <f t="shared" ca="1" si="280"/>
        <v>0</v>
      </c>
      <c r="R624" s="306">
        <f t="shared" ca="1" si="281"/>
        <v>0</v>
      </c>
      <c r="S624" s="307">
        <f t="shared" ca="1" si="282"/>
        <v>7.4819999999999904</v>
      </c>
      <c r="T624" s="304">
        <f t="shared" ca="1" si="262"/>
        <v>73.398419999999916</v>
      </c>
      <c r="U624" s="311">
        <f t="shared" ca="1" si="263"/>
        <v>0</v>
      </c>
      <c r="V624" s="306">
        <f t="shared" ca="1" si="264"/>
        <v>1.0787370188871406</v>
      </c>
      <c r="W624" s="304">
        <f t="shared" ca="1" si="265"/>
        <v>16.465896784166613</v>
      </c>
      <c r="Y624" s="314" t="str">
        <f t="shared" ca="1" si="283"/>
        <v/>
      </c>
      <c r="Z624" s="315" t="str">
        <f t="shared" ca="1" si="284"/>
        <v/>
      </c>
      <c r="AA624" s="316" t="str">
        <f t="shared" ca="1" si="285"/>
        <v/>
      </c>
      <c r="AC624" s="310">
        <f t="shared" ca="1" si="286"/>
        <v>26.000000000000057</v>
      </c>
      <c r="AD624" s="323">
        <f t="shared" ca="1" si="287"/>
        <v>397.82621943657637</v>
      </c>
      <c r="AE624" s="324" t="e">
        <f t="shared" ca="1" si="266"/>
        <v>#N/A</v>
      </c>
      <c r="AG624" s="306">
        <f t="shared" ca="1" si="288"/>
        <v>7.5167972171902573</v>
      </c>
      <c r="AH624" s="304">
        <f t="shared" ca="1" si="289"/>
        <v>-2.1557838882510665</v>
      </c>
    </row>
    <row r="625" spans="1:34" x14ac:dyDescent="0.2">
      <c r="A625" s="347">
        <f t="shared" ca="1" si="267"/>
        <v>0.1</v>
      </c>
      <c r="B625" s="304">
        <f t="shared" ca="1" si="268"/>
        <v>26.100000000000058</v>
      </c>
      <c r="D625" s="306">
        <f t="shared" ca="1" si="269"/>
        <v>-0.36239336984421561</v>
      </c>
      <c r="E625" s="307">
        <f t="shared" ca="1" si="270"/>
        <v>-7.6393079160402282</v>
      </c>
      <c r="F625" s="304">
        <f t="shared" ca="1" si="271"/>
        <v>7.6478986911819078</v>
      </c>
      <c r="G625" s="306">
        <f t="shared" ca="1" si="272"/>
        <v>12.476143096536893</v>
      </c>
      <c r="H625" s="307">
        <f t="shared" ca="1" si="273"/>
        <v>-75.711575423175759</v>
      </c>
      <c r="I625" s="304">
        <f t="shared" ca="1" si="274"/>
        <v>76.732631908624754</v>
      </c>
      <c r="J625" s="306">
        <f t="shared" ca="1" si="275"/>
        <v>399.07564571307927</v>
      </c>
      <c r="K625" s="307">
        <f t="shared" ca="1" si="276"/>
        <v>1262.2559073769892</v>
      </c>
      <c r="L625" s="304">
        <f t="shared" ca="1" si="261"/>
        <v>1323.8396227298144</v>
      </c>
      <c r="M625" s="306">
        <f t="shared" ca="1" si="277"/>
        <v>-1.4074788737057886</v>
      </c>
      <c r="N625" s="304">
        <f t="shared" ca="1" si="278"/>
        <v>-80.642599217168311</v>
      </c>
      <c r="P625" s="310">
        <f t="shared" ca="1" si="279"/>
        <v>23</v>
      </c>
      <c r="Q625" s="304">
        <f t="shared" ca="1" si="280"/>
        <v>0</v>
      </c>
      <c r="R625" s="306">
        <f t="shared" ca="1" si="281"/>
        <v>0</v>
      </c>
      <c r="S625" s="307">
        <f t="shared" ca="1" si="282"/>
        <v>7.4819999999999904</v>
      </c>
      <c r="T625" s="304">
        <f t="shared" ca="1" si="262"/>
        <v>73.398419999999916</v>
      </c>
      <c r="U625" s="311">
        <f t="shared" ca="1" si="263"/>
        <v>0</v>
      </c>
      <c r="V625" s="306">
        <f t="shared" ca="1" si="264"/>
        <v>1.0795532051469354</v>
      </c>
      <c r="W625" s="304">
        <f t="shared" ca="1" si="265"/>
        <v>16.804250386292825</v>
      </c>
      <c r="Y625" s="314" t="str">
        <f t="shared" ca="1" si="283"/>
        <v/>
      </c>
      <c r="Z625" s="315" t="str">
        <f t="shared" ca="1" si="284"/>
        <v/>
      </c>
      <c r="AA625" s="316" t="str">
        <f t="shared" ca="1" si="285"/>
        <v/>
      </c>
      <c r="AC625" s="310" t="e">
        <f t="shared" ca="1" si="286"/>
        <v>#N/A</v>
      </c>
      <c r="AD625" s="323" t="e">
        <f t="shared" ca="1" si="287"/>
        <v>#N/A</v>
      </c>
      <c r="AE625" s="324" t="e">
        <f t="shared" ca="1" si="266"/>
        <v>#N/A</v>
      </c>
      <c r="AG625" s="306">
        <f t="shared" ca="1" si="288"/>
        <v>7.4753474404668481</v>
      </c>
      <c r="AH625" s="304">
        <f t="shared" ca="1" si="289"/>
        <v>-2.2007346677581707</v>
      </c>
    </row>
    <row r="626" spans="1:34" x14ac:dyDescent="0.2">
      <c r="A626" s="347">
        <f t="shared" ca="1" si="267"/>
        <v>0.1</v>
      </c>
      <c r="B626" s="304">
        <f t="shared" ca="1" si="268"/>
        <v>26.20000000000006</v>
      </c>
      <c r="D626" s="306">
        <f t="shared" ca="1" si="269"/>
        <v>-0.36517555062210899</v>
      </c>
      <c r="E626" s="307">
        <f t="shared" ca="1" si="270"/>
        <v>-7.5939292135644045</v>
      </c>
      <c r="F626" s="304">
        <f t="shared" ca="1" si="271"/>
        <v>7.602704392740721</v>
      </c>
      <c r="G626" s="306">
        <f t="shared" ca="1" si="272"/>
        <v>12.439625541474681</v>
      </c>
      <c r="H626" s="307">
        <f t="shared" ca="1" si="273"/>
        <v>-76.470968344532196</v>
      </c>
      <c r="I626" s="304">
        <f t="shared" ca="1" si="274"/>
        <v>77.476146543065454</v>
      </c>
      <c r="J626" s="306">
        <f t="shared" ca="1" si="275"/>
        <v>400.32143414497983</v>
      </c>
      <c r="K626" s="307">
        <f t="shared" ca="1" si="276"/>
        <v>1254.6467801886038</v>
      </c>
      <c r="L626" s="304">
        <f t="shared" ca="1" si="261"/>
        <v>1316.9646136755248</v>
      </c>
      <c r="M626" s="306">
        <f t="shared" ca="1" si="277"/>
        <v>-1.4095376139533717</v>
      </c>
      <c r="N626" s="304">
        <f t="shared" ca="1" si="278"/>
        <v>-80.76055634446854</v>
      </c>
      <c r="P626" s="310">
        <f t="shared" ca="1" si="279"/>
        <v>23</v>
      </c>
      <c r="Q626" s="304">
        <f t="shared" ca="1" si="280"/>
        <v>0</v>
      </c>
      <c r="R626" s="306">
        <f t="shared" ca="1" si="281"/>
        <v>0</v>
      </c>
      <c r="S626" s="307">
        <f t="shared" ca="1" si="282"/>
        <v>7.4819999999999904</v>
      </c>
      <c r="T626" s="304">
        <f t="shared" ca="1" si="262"/>
        <v>73.398419999999916</v>
      </c>
      <c r="U626" s="311">
        <f t="shared" ca="1" si="263"/>
        <v>0</v>
      </c>
      <c r="V626" s="306">
        <f t="shared" ca="1" si="264"/>
        <v>1.0803782312521308</v>
      </c>
      <c r="W626" s="304">
        <f t="shared" ca="1" si="265"/>
        <v>17.144576127574691</v>
      </c>
      <c r="Y626" s="314" t="str">
        <f t="shared" ca="1" si="283"/>
        <v/>
      </c>
      <c r="Z626" s="315" t="str">
        <f t="shared" ca="1" si="284"/>
        <v/>
      </c>
      <c r="AA626" s="316" t="str">
        <f t="shared" ca="1" si="285"/>
        <v/>
      </c>
      <c r="AC626" s="310" t="e">
        <f t="shared" ca="1" si="286"/>
        <v>#N/A</v>
      </c>
      <c r="AD626" s="323" t="e">
        <f t="shared" ca="1" si="287"/>
        <v>#N/A</v>
      </c>
      <c r="AE626" s="324" t="e">
        <f t="shared" ca="1" si="266"/>
        <v>#N/A</v>
      </c>
      <c r="AG626" s="306">
        <f t="shared" ca="1" si="288"/>
        <v>7.4335044660706986</v>
      </c>
      <c r="AH626" s="304">
        <f t="shared" ca="1" si="289"/>
        <v>-2.2459570150083996</v>
      </c>
    </row>
    <row r="627" spans="1:34" x14ac:dyDescent="0.2">
      <c r="A627" s="347">
        <f t="shared" ca="1" si="267"/>
        <v>0.1</v>
      </c>
      <c r="B627" s="304">
        <f t="shared" ca="1" si="268"/>
        <v>26.300000000000061</v>
      </c>
      <c r="D627" s="306">
        <f t="shared" ca="1" si="269"/>
        <v>-0.36791571959976388</v>
      </c>
      <c r="E627" s="307">
        <f t="shared" ca="1" si="270"/>
        <v>-7.548286313107619</v>
      </c>
      <c r="F627" s="304">
        <f t="shared" ca="1" si="271"/>
        <v>7.5572473984498103</v>
      </c>
      <c r="G627" s="306">
        <f t="shared" ca="1" si="272"/>
        <v>12.402833969514704</v>
      </c>
      <c r="H627" s="307">
        <f t="shared" ca="1" si="273"/>
        <v>-77.225796975842954</v>
      </c>
      <c r="I627" s="304">
        <f t="shared" ca="1" si="274"/>
        <v>78.215433317405228</v>
      </c>
      <c r="J627" s="306">
        <f t="shared" ca="1" si="275"/>
        <v>401.56355712052931</v>
      </c>
      <c r="K627" s="307">
        <f t="shared" ca="1" si="276"/>
        <v>1246.9619419225851</v>
      </c>
      <c r="L627" s="304">
        <f t="shared" ca="1" si="261"/>
        <v>1310.0257154005174</v>
      </c>
      <c r="M627" s="306">
        <f t="shared" ca="1" si="277"/>
        <v>-1.4115514130454159</v>
      </c>
      <c r="N627" s="304">
        <f t="shared" ca="1" si="278"/>
        <v>-80.875938533229942</v>
      </c>
      <c r="P627" s="310">
        <f t="shared" ca="1" si="279"/>
        <v>23</v>
      </c>
      <c r="Q627" s="304">
        <f t="shared" ca="1" si="280"/>
        <v>0</v>
      </c>
      <c r="R627" s="306">
        <f t="shared" ca="1" si="281"/>
        <v>0</v>
      </c>
      <c r="S627" s="307">
        <f t="shared" ca="1" si="282"/>
        <v>7.4819999999999904</v>
      </c>
      <c r="T627" s="304">
        <f t="shared" ca="1" si="262"/>
        <v>73.398419999999916</v>
      </c>
      <c r="U627" s="311">
        <f t="shared" ca="1" si="263"/>
        <v>0</v>
      </c>
      <c r="V627" s="306">
        <f t="shared" ca="1" si="264"/>
        <v>1.0812120661739235</v>
      </c>
      <c r="W627" s="304">
        <f t="shared" ca="1" si="265"/>
        <v>17.486814319535188</v>
      </c>
      <c r="Y627" s="314" t="str">
        <f t="shared" ca="1" si="283"/>
        <v/>
      </c>
      <c r="Z627" s="315" t="str">
        <f t="shared" ca="1" si="284"/>
        <v/>
      </c>
      <c r="AA627" s="316" t="str">
        <f t="shared" ca="1" si="285"/>
        <v/>
      </c>
      <c r="AC627" s="310" t="e">
        <f t="shared" ca="1" si="286"/>
        <v>#N/A</v>
      </c>
      <c r="AD627" s="323" t="e">
        <f t="shared" ca="1" si="287"/>
        <v>#N/A</v>
      </c>
      <c r="AE627" s="324" t="e">
        <f t="shared" ca="1" si="266"/>
        <v>#N/A</v>
      </c>
      <c r="AG627" s="306">
        <f t="shared" ca="1" si="288"/>
        <v>7.3912817747610404</v>
      </c>
      <c r="AH627" s="304">
        <f t="shared" ca="1" si="289"/>
        <v>-2.2914429467488255</v>
      </c>
    </row>
    <row r="628" spans="1:34" x14ac:dyDescent="0.2">
      <c r="A628" s="347">
        <f t="shared" ca="1" si="267"/>
        <v>0.1</v>
      </c>
      <c r="B628" s="304">
        <f t="shared" ca="1" si="268"/>
        <v>26.400000000000063</v>
      </c>
      <c r="D628" s="306">
        <f t="shared" ca="1" si="269"/>
        <v>-0.37061369986316994</v>
      </c>
      <c r="E628" s="307">
        <f t="shared" ca="1" si="270"/>
        <v>-7.5023872066297592</v>
      </c>
      <c r="F628" s="304">
        <f t="shared" ca="1" si="271"/>
        <v>7.5115356827168265</v>
      </c>
      <c r="G628" s="306">
        <f t="shared" ca="1" si="272"/>
        <v>12.365772599528388</v>
      </c>
      <c r="H628" s="307">
        <f t="shared" ca="1" si="273"/>
        <v>-77.976035696505932</v>
      </c>
      <c r="I628" s="304">
        <f t="shared" ca="1" si="274"/>
        <v>78.950455824688021</v>
      </c>
      <c r="J628" s="306">
        <f t="shared" ca="1" si="275"/>
        <v>402.80198744898149</v>
      </c>
      <c r="K628" s="307">
        <f t="shared" ca="1" si="276"/>
        <v>1239.2018502889675</v>
      </c>
      <c r="L628" s="304">
        <f t="shared" ca="1" si="261"/>
        <v>1303.0236631974303</v>
      </c>
      <c r="M628" s="306">
        <f t="shared" ca="1" si="277"/>
        <v>-1.4135217618784632</v>
      </c>
      <c r="N628" s="304">
        <f t="shared" ca="1" si="278"/>
        <v>-80.98883120553208</v>
      </c>
      <c r="P628" s="310">
        <f t="shared" ca="1" si="279"/>
        <v>23</v>
      </c>
      <c r="Q628" s="304">
        <f t="shared" ca="1" si="280"/>
        <v>0</v>
      </c>
      <c r="R628" s="306">
        <f t="shared" ca="1" si="281"/>
        <v>0</v>
      </c>
      <c r="S628" s="307">
        <f t="shared" ca="1" si="282"/>
        <v>7.4819999999999904</v>
      </c>
      <c r="T628" s="304">
        <f t="shared" ca="1" si="262"/>
        <v>73.398419999999916</v>
      </c>
      <c r="U628" s="311">
        <f t="shared" ca="1" si="263"/>
        <v>0</v>
      </c>
      <c r="V628" s="306">
        <f t="shared" ca="1" si="264"/>
        <v>1.0820546786734992</v>
      </c>
      <c r="W628" s="304">
        <f t="shared" ca="1" si="265"/>
        <v>17.830905334289323</v>
      </c>
      <c r="Y628" s="314" t="str">
        <f t="shared" ca="1" si="283"/>
        <v/>
      </c>
      <c r="Z628" s="315" t="str">
        <f t="shared" ca="1" si="284"/>
        <v/>
      </c>
      <c r="AA628" s="316" t="str">
        <f t="shared" ca="1" si="285"/>
        <v/>
      </c>
      <c r="AC628" s="310" t="e">
        <f t="shared" ca="1" si="286"/>
        <v>#N/A</v>
      </c>
      <c r="AD628" s="323" t="e">
        <f t="shared" ca="1" si="287"/>
        <v>#N/A</v>
      </c>
      <c r="AE628" s="324" t="e">
        <f t="shared" ca="1" si="266"/>
        <v>#N/A</v>
      </c>
      <c r="AG628" s="306">
        <f t="shared" ca="1" si="288"/>
        <v>7.3486925366072899</v>
      </c>
      <c r="AH628" s="304">
        <f t="shared" ca="1" si="289"/>
        <v>-2.3371844853695816</v>
      </c>
    </row>
    <row r="629" spans="1:34" x14ac:dyDescent="0.2">
      <c r="A629" s="347">
        <f t="shared" ca="1" si="267"/>
        <v>0.1</v>
      </c>
      <c r="B629" s="304">
        <f t="shared" ca="1" si="268"/>
        <v>26.500000000000064</v>
      </c>
      <c r="D629" s="306">
        <f t="shared" ca="1" si="269"/>
        <v>-0.37326932762733656</v>
      </c>
      <c r="E629" s="307">
        <f t="shared" ca="1" si="270"/>
        <v>-7.4562398785669073</v>
      </c>
      <c r="F629" s="304">
        <f t="shared" ca="1" si="271"/>
        <v>7.465577212625881</v>
      </c>
      <c r="G629" s="306">
        <f t="shared" ca="1" si="272"/>
        <v>12.328445666765655</v>
      </c>
      <c r="H629" s="307">
        <f t="shared" ca="1" si="273"/>
        <v>-78.721659684362621</v>
      </c>
      <c r="I629" s="304">
        <f t="shared" ca="1" si="274"/>
        <v>79.68117893216062</v>
      </c>
      <c r="J629" s="306">
        <f t="shared" ca="1" si="275"/>
        <v>404.03669836229619</v>
      </c>
      <c r="K629" s="307">
        <f t="shared" ca="1" si="276"/>
        <v>1231.3669655199242</v>
      </c>
      <c r="L629" s="304">
        <f t="shared" ca="1" si="261"/>
        <v>1295.9592036006577</v>
      </c>
      <c r="M629" s="306">
        <f t="shared" ca="1" si="277"/>
        <v>-1.4154500864684652</v>
      </c>
      <c r="N629" s="304">
        <f t="shared" ca="1" si="278"/>
        <v>-81.099316066070486</v>
      </c>
      <c r="P629" s="310">
        <f t="shared" ca="1" si="279"/>
        <v>23</v>
      </c>
      <c r="Q629" s="304">
        <f t="shared" ca="1" si="280"/>
        <v>0</v>
      </c>
      <c r="R629" s="306">
        <f t="shared" ca="1" si="281"/>
        <v>0</v>
      </c>
      <c r="S629" s="307">
        <f t="shared" ca="1" si="282"/>
        <v>7.4819999999999904</v>
      </c>
      <c r="T629" s="304">
        <f t="shared" ca="1" si="262"/>
        <v>73.398419999999916</v>
      </c>
      <c r="U629" s="311">
        <f t="shared" ca="1" si="263"/>
        <v>0</v>
      </c>
      <c r="V629" s="306">
        <f t="shared" ca="1" si="264"/>
        <v>1.0829060373068198</v>
      </c>
      <c r="W629" s="304">
        <f t="shared" ca="1" si="265"/>
        <v>18.176789622704682</v>
      </c>
      <c r="Y629" s="314" t="str">
        <f t="shared" ca="1" si="283"/>
        <v/>
      </c>
      <c r="Z629" s="315" t="str">
        <f t="shared" ca="1" si="284"/>
        <v/>
      </c>
      <c r="AA629" s="316" t="str">
        <f t="shared" ca="1" si="285"/>
        <v/>
      </c>
      <c r="AC629" s="310" t="e">
        <f t="shared" ca="1" si="286"/>
        <v>#N/A</v>
      </c>
      <c r="AD629" s="323" t="e">
        <f t="shared" ca="1" si="287"/>
        <v>#N/A</v>
      </c>
      <c r="AE629" s="324" t="e">
        <f t="shared" ca="1" si="266"/>
        <v>#N/A</v>
      </c>
      <c r="AG629" s="306">
        <f t="shared" ca="1" si="288"/>
        <v>7.3057496284734711</v>
      </c>
      <c r="AH629" s="304">
        <f t="shared" ca="1" si="289"/>
        <v>-2.3831736613591747</v>
      </c>
    </row>
    <row r="630" spans="1:34" x14ac:dyDescent="0.2">
      <c r="A630" s="347">
        <f t="shared" ca="1" si="267"/>
        <v>0.1</v>
      </c>
      <c r="B630" s="304">
        <f t="shared" ca="1" si="268"/>
        <v>26.600000000000065</v>
      </c>
      <c r="D630" s="306">
        <f t="shared" ca="1" si="269"/>
        <v>-0.37588245203301918</v>
      </c>
      <c r="E630" s="307">
        <f t="shared" ca="1" si="270"/>
        <v>-7.409852303357721</v>
      </c>
      <c r="F630" s="304">
        <f t="shared" ca="1" si="271"/>
        <v>7.4193799454753684</v>
      </c>
      <c r="G630" s="306">
        <f t="shared" ca="1" si="272"/>
        <v>12.290857421562352</v>
      </c>
      <c r="H630" s="307">
        <f t="shared" ca="1" si="273"/>
        <v>-79.462644914698387</v>
      </c>
      <c r="I630" s="304">
        <f t="shared" ca="1" si="274"/>
        <v>80.407568754418989</v>
      </c>
      <c r="J630" s="306">
        <f t="shared" ca="1" si="275"/>
        <v>405.26766351671262</v>
      </c>
      <c r="K630" s="307">
        <f t="shared" ca="1" si="276"/>
        <v>1223.457750289971</v>
      </c>
      <c r="L630" s="304">
        <f t="shared" ca="1" si="261"/>
        <v>1288.8330946390586</v>
      </c>
      <c r="M630" s="306">
        <f t="shared" ca="1" si="277"/>
        <v>-1.4173377514053298</v>
      </c>
      <c r="N630" s="304">
        <f t="shared" ca="1" si="278"/>
        <v>-81.207471300087661</v>
      </c>
      <c r="P630" s="310">
        <f t="shared" ca="1" si="279"/>
        <v>23</v>
      </c>
      <c r="Q630" s="304">
        <f t="shared" ca="1" si="280"/>
        <v>0</v>
      </c>
      <c r="R630" s="306">
        <f t="shared" ca="1" si="281"/>
        <v>0</v>
      </c>
      <c r="S630" s="307">
        <f t="shared" ca="1" si="282"/>
        <v>7.4819999999999904</v>
      </c>
      <c r="T630" s="304">
        <f t="shared" ca="1" si="262"/>
        <v>73.398419999999916</v>
      </c>
      <c r="U630" s="311">
        <f t="shared" ca="1" si="263"/>
        <v>0</v>
      </c>
      <c r="V630" s="306">
        <f t="shared" ca="1" si="264"/>
        <v>1.0837661104294152</v>
      </c>
      <c r="W630" s="304">
        <f t="shared" ca="1" si="265"/>
        <v>18.524407732343768</v>
      </c>
      <c r="Y630" s="314" t="str">
        <f t="shared" ca="1" si="283"/>
        <v/>
      </c>
      <c r="Z630" s="315" t="str">
        <f t="shared" ca="1" si="284"/>
        <v/>
      </c>
      <c r="AA630" s="316" t="str">
        <f t="shared" ca="1" si="285"/>
        <v/>
      </c>
      <c r="AC630" s="310" t="e">
        <f t="shared" ca="1" si="286"/>
        <v>#N/A</v>
      </c>
      <c r="AD630" s="323" t="e">
        <f t="shared" ca="1" si="287"/>
        <v>#N/A</v>
      </c>
      <c r="AE630" s="324" t="e">
        <f t="shared" ca="1" si="266"/>
        <v>#N/A</v>
      </c>
      <c r="AG630" s="306">
        <f t="shared" ca="1" si="288"/>
        <v>7.2624656500378677</v>
      </c>
      <c r="AH630" s="304">
        <f t="shared" ca="1" si="289"/>
        <v>-2.4294025157317169</v>
      </c>
    </row>
    <row r="631" spans="1:34" x14ac:dyDescent="0.2">
      <c r="A631" s="347">
        <f t="shared" ca="1" si="267"/>
        <v>0.1</v>
      </c>
      <c r="B631" s="304">
        <f t="shared" ca="1" si="268"/>
        <v>26.700000000000067</v>
      </c>
      <c r="D631" s="306">
        <f t="shared" ca="1" si="269"/>
        <v>-0.37845293494886617</v>
      </c>
      <c r="E631" s="307">
        <f t="shared" ca="1" si="270"/>
        <v>-7.3632324430019729</v>
      </c>
      <c r="F631" s="304">
        <f t="shared" ca="1" si="271"/>
        <v>7.3729518263479932</v>
      </c>
      <c r="G631" s="306">
        <f t="shared" ca="1" si="272"/>
        <v>12.253012128067466</v>
      </c>
      <c r="H631" s="307">
        <f t="shared" ca="1" si="273"/>
        <v>-80.198968158998582</v>
      </c>
      <c r="I631" s="304">
        <f t="shared" ca="1" si="274"/>
        <v>81.129592627959354</v>
      </c>
      <c r="J631" s="306">
        <f t="shared" ca="1" si="275"/>
        <v>406.49485699419409</v>
      </c>
      <c r="K631" s="307">
        <f t="shared" ca="1" si="276"/>
        <v>1215.4746696362863</v>
      </c>
      <c r="L631" s="304">
        <f t="shared" ca="1" si="261"/>
        <v>1281.6461061034634</v>
      </c>
      <c r="M631" s="306">
        <f t="shared" ca="1" si="277"/>
        <v>-1.4191860630912625</v>
      </c>
      <c r="N631" s="304">
        <f t="shared" ca="1" si="278"/>
        <v>-81.313371758916318</v>
      </c>
      <c r="P631" s="310">
        <f t="shared" ca="1" si="279"/>
        <v>23</v>
      </c>
      <c r="Q631" s="304">
        <f t="shared" ca="1" si="280"/>
        <v>0</v>
      </c>
      <c r="R631" s="306">
        <f t="shared" ca="1" si="281"/>
        <v>0</v>
      </c>
      <c r="S631" s="307">
        <f t="shared" ca="1" si="282"/>
        <v>7.4819999999999904</v>
      </c>
      <c r="T631" s="304">
        <f t="shared" ca="1" si="262"/>
        <v>73.398419999999916</v>
      </c>
      <c r="U631" s="311">
        <f t="shared" ca="1" si="263"/>
        <v>0</v>
      </c>
      <c r="V631" s="306">
        <f t="shared" ca="1" si="264"/>
        <v>1.0846348662011835</v>
      </c>
      <c r="W631" s="304">
        <f t="shared" ca="1" si="265"/>
        <v>18.873700325181105</v>
      </c>
      <c r="Y631" s="314" t="str">
        <f t="shared" ca="1" si="283"/>
        <v/>
      </c>
      <c r="Z631" s="315" t="str">
        <f t="shared" ca="1" si="284"/>
        <v/>
      </c>
      <c r="AA631" s="316" t="str">
        <f t="shared" ca="1" si="285"/>
        <v/>
      </c>
      <c r="AC631" s="310" t="e">
        <f t="shared" ca="1" si="286"/>
        <v>#N/A</v>
      </c>
      <c r="AD631" s="323" t="e">
        <f t="shared" ca="1" si="287"/>
        <v>#N/A</v>
      </c>
      <c r="AE631" s="324" t="e">
        <f t="shared" ca="1" si="266"/>
        <v>#N/A</v>
      </c>
      <c r="AG631" s="306">
        <f t="shared" ca="1" si="288"/>
        <v>7.21885293847446</v>
      </c>
      <c r="AH631" s="304">
        <f t="shared" ca="1" si="289"/>
        <v>-2.4758631024249924</v>
      </c>
    </row>
    <row r="632" spans="1:34" x14ac:dyDescent="0.2">
      <c r="A632" s="347">
        <f t="shared" ca="1" si="267"/>
        <v>0.1</v>
      </c>
      <c r="B632" s="304">
        <f t="shared" ca="1" si="268"/>
        <v>26.800000000000068</v>
      </c>
      <c r="D632" s="306">
        <f t="shared" ca="1" si="269"/>
        <v>-0.38098065077839843</v>
      </c>
      <c r="E632" s="307">
        <f t="shared" ca="1" si="270"/>
        <v>-7.3163882446519439</v>
      </c>
      <c r="F632" s="304">
        <f t="shared" ca="1" si="271"/>
        <v>7.3263007857136664</v>
      </c>
      <c r="G632" s="306">
        <f t="shared" ca="1" si="272"/>
        <v>12.214914062989626</v>
      </c>
      <c r="H632" s="307">
        <f t="shared" ca="1" si="273"/>
        <v>-80.930606983463775</v>
      </c>
      <c r="I632" s="304">
        <f t="shared" ca="1" si="274"/>
        <v>81.847219087016612</v>
      </c>
      <c r="J632" s="306">
        <f t="shared" ca="1" si="275"/>
        <v>407.71825330374696</v>
      </c>
      <c r="K632" s="307">
        <f t="shared" ca="1" si="276"/>
        <v>1207.4181908791631</v>
      </c>
      <c r="L632" s="304">
        <f t="shared" ca="1" si="261"/>
        <v>1274.3990198297272</v>
      </c>
      <c r="M632" s="306">
        <f t="shared" ca="1" si="277"/>
        <v>-1.4209962727783627</v>
      </c>
      <c r="N632" s="304">
        <f t="shared" ca="1" si="278"/>
        <v>-81.417089134020856</v>
      </c>
      <c r="P632" s="310">
        <f t="shared" ca="1" si="279"/>
        <v>23</v>
      </c>
      <c r="Q632" s="304">
        <f t="shared" ca="1" si="280"/>
        <v>0</v>
      </c>
      <c r="R632" s="306">
        <f t="shared" ca="1" si="281"/>
        <v>0</v>
      </c>
      <c r="S632" s="307">
        <f t="shared" ca="1" si="282"/>
        <v>7.4819999999999904</v>
      </c>
      <c r="T632" s="304">
        <f t="shared" ca="1" si="262"/>
        <v>73.398419999999916</v>
      </c>
      <c r="U632" s="311">
        <f t="shared" ca="1" si="263"/>
        <v>0</v>
      </c>
      <c r="V632" s="306">
        <f t="shared" ca="1" si="264"/>
        <v>1.0855122725911921</v>
      </c>
      <c r="W632" s="304">
        <f t="shared" ca="1" si="265"/>
        <v>19.224608195087534</v>
      </c>
      <c r="Y632" s="314" t="str">
        <f t="shared" ca="1" si="283"/>
        <v/>
      </c>
      <c r="Z632" s="315" t="str">
        <f t="shared" ca="1" si="284"/>
        <v/>
      </c>
      <c r="AA632" s="316" t="str">
        <f t="shared" ca="1" si="285"/>
        <v/>
      </c>
      <c r="AC632" s="310" t="e">
        <f t="shared" ca="1" si="286"/>
        <v>#N/A</v>
      </c>
      <c r="AD632" s="323" t="e">
        <f t="shared" ca="1" si="287"/>
        <v>#N/A</v>
      </c>
      <c r="AE632" s="324" t="e">
        <f t="shared" ca="1" si="266"/>
        <v>#N/A</v>
      </c>
      <c r="AG632" s="306">
        <f t="shared" ca="1" si="288"/>
        <v>7.1749235819108481</v>
      </c>
      <c r="AH632" s="304">
        <f t="shared" ca="1" si="289"/>
        <v>-2.5225474906684213</v>
      </c>
    </row>
    <row r="633" spans="1:34" x14ac:dyDescent="0.2">
      <c r="A633" s="347">
        <f t="shared" ca="1" si="267"/>
        <v>0.1</v>
      </c>
      <c r="B633" s="304">
        <f t="shared" ca="1" si="268"/>
        <v>26.90000000000007</v>
      </c>
      <c r="D633" s="306">
        <f t="shared" ca="1" si="269"/>
        <v>-0.38346548627126092</v>
      </c>
      <c r="E633" s="307">
        <f t="shared" ca="1" si="270"/>
        <v>-7.269327638237467</v>
      </c>
      <c r="F633" s="304">
        <f t="shared" ca="1" si="271"/>
        <v>7.2794347370660839</v>
      </c>
      <c r="G633" s="306">
        <f t="shared" ca="1" si="272"/>
        <v>12.1765675143625</v>
      </c>
      <c r="H633" s="307">
        <f t="shared" ca="1" si="273"/>
        <v>-81.657539747287515</v>
      </c>
      <c r="I633" s="304">
        <f t="shared" ca="1" si="274"/>
        <v>82.560417840583085</v>
      </c>
      <c r="J633" s="306">
        <f t="shared" ca="1" si="275"/>
        <v>408.93782738261456</v>
      </c>
      <c r="K633" s="307">
        <f t="shared" ca="1" si="276"/>
        <v>1199.2887835426257</v>
      </c>
      <c r="L633" s="304">
        <f t="shared" ca="1" si="261"/>
        <v>1267.0926299981245</v>
      </c>
      <c r="M633" s="306">
        <f t="shared" ca="1" si="277"/>
        <v>-1.4227695794197017</v>
      </c>
      <c r="N633" s="304">
        <f t="shared" ca="1" si="278"/>
        <v>-81.5186921203521</v>
      </c>
      <c r="P633" s="310">
        <f t="shared" ca="1" si="279"/>
        <v>23</v>
      </c>
      <c r="Q633" s="304">
        <f t="shared" ca="1" si="280"/>
        <v>0</v>
      </c>
      <c r="R633" s="306">
        <f t="shared" ca="1" si="281"/>
        <v>0</v>
      </c>
      <c r="S633" s="307">
        <f t="shared" ca="1" si="282"/>
        <v>7.4819999999999904</v>
      </c>
      <c r="T633" s="304">
        <f t="shared" ca="1" si="262"/>
        <v>73.398419999999916</v>
      </c>
      <c r="U633" s="311">
        <f t="shared" ca="1" si="263"/>
        <v>0</v>
      </c>
      <c r="V633" s="306">
        <f t="shared" ca="1" si="264"/>
        <v>1.0863982973824833</v>
      </c>
      <c r="W633" s="304">
        <f t="shared" ca="1" si="265"/>
        <v>19.577072285075079</v>
      </c>
      <c r="Y633" s="314" t="str">
        <f t="shared" ca="1" si="283"/>
        <v/>
      </c>
      <c r="Z633" s="315" t="str">
        <f t="shared" ca="1" si="284"/>
        <v/>
      </c>
      <c r="AA633" s="316" t="str">
        <f t="shared" ca="1" si="285"/>
        <v/>
      </c>
      <c r="AC633" s="310" t="e">
        <f t="shared" ca="1" si="286"/>
        <v>#N/A</v>
      </c>
      <c r="AD633" s="323" t="e">
        <f t="shared" ca="1" si="287"/>
        <v>#N/A</v>
      </c>
      <c r="AE633" s="324" t="e">
        <f t="shared" ca="1" si="266"/>
        <v>#N/A</v>
      </c>
      <c r="AG633" s="306">
        <f t="shared" ca="1" si="288"/>
        <v>7.1306894317669229</v>
      </c>
      <c r="AH633" s="304">
        <f t="shared" ca="1" si="289"/>
        <v>-2.5694477673199088</v>
      </c>
    </row>
    <row r="634" spans="1:34" x14ac:dyDescent="0.2">
      <c r="A634" s="347">
        <f t="shared" ca="1" si="267"/>
        <v>0.1</v>
      </c>
      <c r="B634" s="304">
        <f t="shared" ca="1" si="268"/>
        <v>27.000000000000071</v>
      </c>
      <c r="D634" s="306">
        <f t="shared" ca="1" si="269"/>
        <v>-0.38590734033825974</v>
      </c>
      <c r="E634" s="307">
        <f t="shared" ca="1" si="270"/>
        <v>-7.2220585341253063</v>
      </c>
      <c r="F634" s="304">
        <f t="shared" ca="1" si="271"/>
        <v>7.2323615745936767</v>
      </c>
      <c r="G634" s="306">
        <f t="shared" ca="1" si="272"/>
        <v>12.137976780328673</v>
      </c>
      <c r="H634" s="307">
        <f t="shared" ca="1" si="273"/>
        <v>-82.379745600700048</v>
      </c>
      <c r="I634" s="304">
        <f t="shared" ca="1" si="274"/>
        <v>83.269159750509417</v>
      </c>
      <c r="J634" s="306">
        <f t="shared" ca="1" si="275"/>
        <v>410.15355459734911</v>
      </c>
      <c r="K634" s="307">
        <f t="shared" ca="1" si="276"/>
        <v>1191.0869192752264</v>
      </c>
      <c r="L634" s="304">
        <f t="shared" ca="1" si="261"/>
        <v>1259.7277434499051</v>
      </c>
      <c r="M634" s="306">
        <f t="shared" ca="1" si="277"/>
        <v>-1.4245071323469756</v>
      </c>
      <c r="N634" s="304">
        <f t="shared" ca="1" si="278"/>
        <v>-81.618246569765489</v>
      </c>
      <c r="P634" s="310">
        <f t="shared" ca="1" si="279"/>
        <v>23</v>
      </c>
      <c r="Q634" s="304">
        <f t="shared" ca="1" si="280"/>
        <v>0</v>
      </c>
      <c r="R634" s="306">
        <f t="shared" ca="1" si="281"/>
        <v>0</v>
      </c>
      <c r="S634" s="307">
        <f t="shared" ca="1" si="282"/>
        <v>7.4819999999999904</v>
      </c>
      <c r="T634" s="304">
        <f t="shared" ca="1" si="262"/>
        <v>73.398419999999916</v>
      </c>
      <c r="U634" s="311">
        <f t="shared" ca="1" si="263"/>
        <v>0</v>
      </c>
      <c r="V634" s="306">
        <f t="shared" ca="1" si="264"/>
        <v>1.0872929081768823</v>
      </c>
      <c r="W634" s="304">
        <f t="shared" ca="1" si="265"/>
        <v>19.931033704295491</v>
      </c>
      <c r="Y634" s="314" t="str">
        <f t="shared" ca="1" si="283"/>
        <v/>
      </c>
      <c r="Z634" s="315" t="str">
        <f t="shared" ca="1" si="284"/>
        <v/>
      </c>
      <c r="AA634" s="316" t="str">
        <f t="shared" ca="1" si="285"/>
        <v/>
      </c>
      <c r="AC634" s="310">
        <f t="shared" ca="1" si="286"/>
        <v>27.000000000000071</v>
      </c>
      <c r="AD634" s="323">
        <f t="shared" ca="1" si="287"/>
        <v>410.15355459734911</v>
      </c>
      <c r="AE634" s="324" t="e">
        <f t="shared" ca="1" si="266"/>
        <v>#N/A</v>
      </c>
      <c r="AG634" s="306">
        <f t="shared" ca="1" si="288"/>
        <v>7.0861621140691362</v>
      </c>
      <c r="AH634" s="304">
        <f t="shared" ca="1" si="289"/>
        <v>-2.6165560391706904</v>
      </c>
    </row>
    <row r="635" spans="1:34" x14ac:dyDescent="0.2">
      <c r="A635" s="347">
        <f t="shared" ca="1" si="267"/>
        <v>0.1</v>
      </c>
      <c r="B635" s="304">
        <f t="shared" ca="1" si="268"/>
        <v>27.100000000000072</v>
      </c>
      <c r="D635" s="306">
        <f t="shared" ca="1" si="269"/>
        <v>-0.38830612386973945</v>
      </c>
      <c r="E635" s="307">
        <f t="shared" ca="1" si="270"/>
        <v>-7.1745888208136073</v>
      </c>
      <c r="F635" s="304">
        <f t="shared" ca="1" si="271"/>
        <v>7.1850891708856564</v>
      </c>
      <c r="G635" s="306">
        <f t="shared" ca="1" si="272"/>
        <v>12.099146167941699</v>
      </c>
      <c r="H635" s="307">
        <f t="shared" ca="1" si="273"/>
        <v>-83.097204482781407</v>
      </c>
      <c r="I635" s="304">
        <f t="shared" ca="1" si="274"/>
        <v>83.973416810597897</v>
      </c>
      <c r="J635" s="306">
        <f t="shared" ca="1" si="275"/>
        <v>411.36541074476264</v>
      </c>
      <c r="K635" s="307">
        <f t="shared" ca="1" si="276"/>
        <v>1182.8130717710524</v>
      </c>
      <c r="L635" s="304">
        <f t="shared" ca="1" si="261"/>
        <v>1252.3051800218987</v>
      </c>
      <c r="M635" s="306">
        <f t="shared" ca="1" si="277"/>
        <v>-1.4262100337868036</v>
      </c>
      <c r="N635" s="304">
        <f t="shared" ca="1" si="278"/>
        <v>-81.715815635194389</v>
      </c>
      <c r="P635" s="310">
        <f t="shared" ca="1" si="279"/>
        <v>23</v>
      </c>
      <c r="Q635" s="304">
        <f t="shared" ca="1" si="280"/>
        <v>0</v>
      </c>
      <c r="R635" s="306">
        <f t="shared" ca="1" si="281"/>
        <v>0</v>
      </c>
      <c r="S635" s="307">
        <f t="shared" ca="1" si="282"/>
        <v>7.4819999999999904</v>
      </c>
      <c r="T635" s="304">
        <f t="shared" ca="1" si="262"/>
        <v>73.398419999999916</v>
      </c>
      <c r="U635" s="311">
        <f t="shared" ca="1" si="263"/>
        <v>0</v>
      </c>
      <c r="V635" s="306">
        <f t="shared" ca="1" si="264"/>
        <v>1.088196072399803</v>
      </c>
      <c r="W635" s="304">
        <f t="shared" ca="1" si="265"/>
        <v>20.28643374478618</v>
      </c>
      <c r="Y635" s="314" t="str">
        <f t="shared" ca="1" si="283"/>
        <v/>
      </c>
      <c r="Z635" s="315" t="str">
        <f t="shared" ca="1" si="284"/>
        <v/>
      </c>
      <c r="AA635" s="316" t="str">
        <f t="shared" ca="1" si="285"/>
        <v/>
      </c>
      <c r="AC635" s="310" t="e">
        <f t="shared" ca="1" si="286"/>
        <v>#N/A</v>
      </c>
      <c r="AD635" s="323" t="e">
        <f t="shared" ca="1" si="287"/>
        <v>#N/A</v>
      </c>
      <c r="AE635" s="324" t="e">
        <f t="shared" ca="1" si="266"/>
        <v>#N/A</v>
      </c>
      <c r="AG635" s="306">
        <f t="shared" ca="1" si="288"/>
        <v>7.0413530398266619</v>
      </c>
      <c r="AH635" s="304">
        <f t="shared" ca="1" si="289"/>
        <v>-2.6638644352172567</v>
      </c>
    </row>
    <row r="636" spans="1:34" x14ac:dyDescent="0.2">
      <c r="A636" s="347">
        <f t="shared" ca="1" si="267"/>
        <v>0.1</v>
      </c>
      <c r="B636" s="304">
        <f t="shared" ca="1" si="268"/>
        <v>27.200000000000074</v>
      </c>
      <c r="D636" s="306">
        <f t="shared" ca="1" si="269"/>
        <v>-0.39066175955689175</v>
      </c>
      <c r="E636" s="307">
        <f t="shared" ca="1" si="270"/>
        <v>-7.1269263626621022</v>
      </c>
      <c r="F636" s="304">
        <f t="shared" ca="1" si="271"/>
        <v>7.1376253746738589</v>
      </c>
      <c r="G636" s="306">
        <f t="shared" ca="1" si="272"/>
        <v>12.06007999198601</v>
      </c>
      <c r="H636" s="307">
        <f t="shared" ca="1" si="273"/>
        <v>-83.809897119047619</v>
      </c>
      <c r="I636" s="304">
        <f t="shared" ca="1" si="274"/>
        <v>84.673162126605661</v>
      </c>
      <c r="J636" s="306">
        <f t="shared" ca="1" si="275"/>
        <v>412.57337205275905</v>
      </c>
      <c r="K636" s="307">
        <f t="shared" ca="1" si="276"/>
        <v>1174.467716690961</v>
      </c>
      <c r="L636" s="304">
        <f t="shared" ca="1" si="261"/>
        <v>1244.8257729000727</v>
      </c>
      <c r="M636" s="306">
        <f t="shared" ca="1" si="277"/>
        <v>-1.4278793412267936</v>
      </c>
      <c r="N636" s="304">
        <f t="shared" ca="1" si="278"/>
        <v>-81.811459906215603</v>
      </c>
      <c r="P636" s="310">
        <f t="shared" ca="1" si="279"/>
        <v>23</v>
      </c>
      <c r="Q636" s="304">
        <f t="shared" ca="1" si="280"/>
        <v>0</v>
      </c>
      <c r="R636" s="306">
        <f t="shared" ca="1" si="281"/>
        <v>0</v>
      </c>
      <c r="S636" s="307">
        <f t="shared" ca="1" si="282"/>
        <v>7.4819999999999904</v>
      </c>
      <c r="T636" s="304">
        <f t="shared" ca="1" si="262"/>
        <v>73.398419999999916</v>
      </c>
      <c r="U636" s="311">
        <f t="shared" ca="1" si="263"/>
        <v>0</v>
      </c>
      <c r="V636" s="306">
        <f t="shared" ca="1" si="264"/>
        <v>1.0891077573050547</v>
      </c>
      <c r="W636" s="304">
        <f t="shared" ca="1" si="265"/>
        <v>20.643213897957295</v>
      </c>
      <c r="Y636" s="314" t="str">
        <f t="shared" ca="1" si="283"/>
        <v/>
      </c>
      <c r="Z636" s="315" t="str">
        <f t="shared" ca="1" si="284"/>
        <v/>
      </c>
      <c r="AA636" s="316" t="str">
        <f t="shared" ca="1" si="285"/>
        <v/>
      </c>
      <c r="AC636" s="310" t="e">
        <f t="shared" ca="1" si="286"/>
        <v>#N/A</v>
      </c>
      <c r="AD636" s="323" t="e">
        <f t="shared" ca="1" si="287"/>
        <v>#N/A</v>
      </c>
      <c r="AE636" s="324" t="e">
        <f t="shared" ca="1" si="266"/>
        <v>#N/A</v>
      </c>
      <c r="AG636" s="306">
        <f t="shared" ca="1" si="288"/>
        <v>6.9962734145481207</v>
      </c>
      <c r="AH636" s="304">
        <f t="shared" ca="1" si="289"/>
        <v>-2.7113651088995194</v>
      </c>
    </row>
    <row r="637" spans="1:34" x14ac:dyDescent="0.2">
      <c r="A637" s="347">
        <f t="shared" ca="1" si="267"/>
        <v>0.1</v>
      </c>
      <c r="B637" s="304">
        <f t="shared" ca="1" si="268"/>
        <v>27.300000000000075</v>
      </c>
      <c r="D637" s="306">
        <f t="shared" ca="1" si="269"/>
        <v>-0.39297418171564474</v>
      </c>
      <c r="E637" s="307">
        <f t="shared" ca="1" si="270"/>
        <v>-7.0790789976587494</v>
      </c>
      <c r="F637" s="304">
        <f t="shared" ca="1" si="271"/>
        <v>7.0899780086110482</v>
      </c>
      <c r="G637" s="306">
        <f t="shared" ca="1" si="272"/>
        <v>12.020782573814445</v>
      </c>
      <c r="H637" s="307">
        <f t="shared" ca="1" si="273"/>
        <v>-84.51780501881349</v>
      </c>
      <c r="I637" s="304">
        <f t="shared" ca="1" si="274"/>
        <v>85.368369897082474</v>
      </c>
      <c r="J637" s="306">
        <f t="shared" ca="1" si="275"/>
        <v>413.77741518104909</v>
      </c>
      <c r="K637" s="307">
        <f t="shared" ca="1" si="276"/>
        <v>1166.0513315840678</v>
      </c>
      <c r="L637" s="304">
        <f t="shared" ca="1" si="261"/>
        <v>1237.2903689930217</v>
      </c>
      <c r="M637" s="306">
        <f t="shared" ca="1" si="277"/>
        <v>-1.4295160696416462</v>
      </c>
      <c r="N637" s="304">
        <f t="shared" ca="1" si="278"/>
        <v>-81.905237536595791</v>
      </c>
      <c r="P637" s="310">
        <f t="shared" ca="1" si="279"/>
        <v>23</v>
      </c>
      <c r="Q637" s="304">
        <f t="shared" ca="1" si="280"/>
        <v>0</v>
      </c>
      <c r="R637" s="306">
        <f t="shared" ca="1" si="281"/>
        <v>0</v>
      </c>
      <c r="S637" s="307">
        <f t="shared" ca="1" si="282"/>
        <v>7.4819999999999904</v>
      </c>
      <c r="T637" s="304">
        <f t="shared" ca="1" si="262"/>
        <v>73.398419999999916</v>
      </c>
      <c r="U637" s="311">
        <f t="shared" ca="1" si="263"/>
        <v>0</v>
      </c>
      <c r="V637" s="306">
        <f t="shared" ca="1" si="264"/>
        <v>1.0900279299796463</v>
      </c>
      <c r="W637" s="304">
        <f t="shared" ca="1" si="265"/>
        <v>21.001315870814068</v>
      </c>
      <c r="Y637" s="314" t="str">
        <f t="shared" ca="1" si="283"/>
        <v/>
      </c>
      <c r="Z637" s="315" t="str">
        <f t="shared" ca="1" si="284"/>
        <v/>
      </c>
      <c r="AA637" s="316" t="str">
        <f t="shared" ca="1" si="285"/>
        <v/>
      </c>
      <c r="AC637" s="310" t="e">
        <f t="shared" ca="1" si="286"/>
        <v>#N/A</v>
      </c>
      <c r="AD637" s="323" t="e">
        <f t="shared" ca="1" si="287"/>
        <v>#N/A</v>
      </c>
      <c r="AE637" s="324" t="e">
        <f t="shared" ca="1" si="266"/>
        <v>#N/A</v>
      </c>
      <c r="AG637" s="306">
        <f t="shared" ca="1" si="288"/>
        <v>6.9509342469705686</v>
      </c>
      <c r="AH637" s="304">
        <f t="shared" ca="1" si="289"/>
        <v>-2.7590502403043735</v>
      </c>
    </row>
    <row r="638" spans="1:34" x14ac:dyDescent="0.2">
      <c r="A638" s="347">
        <f t="shared" ca="1" si="267"/>
        <v>0.1</v>
      </c>
      <c r="B638" s="304">
        <f t="shared" ca="1" si="268"/>
        <v>27.400000000000077</v>
      </c>
      <c r="D638" s="306">
        <f t="shared" ca="1" si="269"/>
        <v>-0.39524333611279433</v>
      </c>
      <c r="E638" s="307">
        <f t="shared" ca="1" si="270"/>
        <v>-7.031054535223463</v>
      </c>
      <c r="F638" s="304">
        <f t="shared" ca="1" si="271"/>
        <v>7.0421548670863521</v>
      </c>
      <c r="G638" s="306">
        <f t="shared" ca="1" si="272"/>
        <v>11.981258240203166</v>
      </c>
      <c r="H638" s="307">
        <f t="shared" ca="1" si="273"/>
        <v>-85.220910472335831</v>
      </c>
      <c r="I638" s="304">
        <f t="shared" ca="1" si="274"/>
        <v>86.05901539497367</v>
      </c>
      <c r="J638" s="306">
        <f t="shared" ca="1" si="275"/>
        <v>414.97751722174996</v>
      </c>
      <c r="K638" s="307">
        <f t="shared" ca="1" si="276"/>
        <v>1157.5643958095104</v>
      </c>
      <c r="L638" s="304">
        <f t="shared" ca="1" si="261"/>
        <v>1229.6998293263948</v>
      </c>
      <c r="M638" s="306">
        <f t="shared" ca="1" si="277"/>
        <v>-1.4311211935887727</v>
      </c>
      <c r="N638" s="304">
        <f t="shared" ca="1" si="278"/>
        <v>-81.997204364361522</v>
      </c>
      <c r="P638" s="310">
        <f t="shared" ca="1" si="279"/>
        <v>23</v>
      </c>
      <c r="Q638" s="304">
        <f t="shared" ca="1" si="280"/>
        <v>0</v>
      </c>
      <c r="R638" s="306">
        <f t="shared" ca="1" si="281"/>
        <v>0</v>
      </c>
      <c r="S638" s="307">
        <f t="shared" ca="1" si="282"/>
        <v>7.4819999999999904</v>
      </c>
      <c r="T638" s="304">
        <f t="shared" ca="1" si="262"/>
        <v>73.398419999999916</v>
      </c>
      <c r="U638" s="311">
        <f t="shared" ca="1" si="263"/>
        <v>0</v>
      </c>
      <c r="V638" s="306">
        <f t="shared" ca="1" si="264"/>
        <v>1.0909565573485855</v>
      </c>
      <c r="W638" s="304">
        <f t="shared" ca="1" si="265"/>
        <v>21.36068160190877</v>
      </c>
      <c r="Y638" s="314" t="str">
        <f t="shared" ca="1" si="283"/>
        <v/>
      </c>
      <c r="Z638" s="315" t="str">
        <f t="shared" ca="1" si="284"/>
        <v/>
      </c>
      <c r="AA638" s="316" t="str">
        <f t="shared" ca="1" si="285"/>
        <v/>
      </c>
      <c r="AC638" s="310" t="e">
        <f t="shared" ca="1" si="286"/>
        <v>#N/A</v>
      </c>
      <c r="AD638" s="323" t="e">
        <f t="shared" ca="1" si="287"/>
        <v>#N/A</v>
      </c>
      <c r="AE638" s="324" t="e">
        <f t="shared" ca="1" si="266"/>
        <v>#N/A</v>
      </c>
      <c r="AG638" s="306">
        <f t="shared" ca="1" si="288"/>
        <v>6.9053463570662199</v>
      </c>
      <c r="AH638" s="304">
        <f t="shared" ca="1" si="289"/>
        <v>-2.8069120383338806</v>
      </c>
    </row>
    <row r="639" spans="1:34" x14ac:dyDescent="0.2">
      <c r="A639" s="347">
        <f t="shared" ca="1" si="267"/>
        <v>0.1</v>
      </c>
      <c r="B639" s="304">
        <f t="shared" ca="1" si="268"/>
        <v>27.500000000000078</v>
      </c>
      <c r="D639" s="306">
        <f t="shared" ca="1" si="269"/>
        <v>-0.39746917979409785</v>
      </c>
      <c r="E639" s="307">
        <f t="shared" ca="1" si="270"/>
        <v>-6.9828607540495531</v>
      </c>
      <c r="F639" s="304">
        <f t="shared" ca="1" si="271"/>
        <v>6.9941637140784518</v>
      </c>
      <c r="G639" s="306">
        <f t="shared" ca="1" si="272"/>
        <v>11.941511322223757</v>
      </c>
      <c r="H639" s="307">
        <f t="shared" ca="1" si="273"/>
        <v>-85.919196547740782</v>
      </c>
      <c r="I639" s="304">
        <f t="shared" ca="1" si="274"/>
        <v>86.745074949925026</v>
      </c>
      <c r="J639" s="306">
        <f t="shared" ca="1" si="275"/>
        <v>416.17365569987129</v>
      </c>
      <c r="K639" s="307">
        <f t="shared" ca="1" si="276"/>
        <v>1149.0073904585065</v>
      </c>
      <c r="L639" s="304">
        <f t="shared" ca="1" si="261"/>
        <v>1222.0550294593372</v>
      </c>
      <c r="M639" s="306">
        <f t="shared" ca="1" si="277"/>
        <v>-1.4326956491821896</v>
      </c>
      <c r="N639" s="304">
        <f t="shared" ca="1" si="278"/>
        <v>-82.087414024895082</v>
      </c>
      <c r="P639" s="310">
        <f t="shared" ca="1" si="279"/>
        <v>23</v>
      </c>
      <c r="Q639" s="304">
        <f t="shared" ca="1" si="280"/>
        <v>0</v>
      </c>
      <c r="R639" s="306">
        <f t="shared" ca="1" si="281"/>
        <v>0</v>
      </c>
      <c r="S639" s="307">
        <f t="shared" ca="1" si="282"/>
        <v>7.4819999999999904</v>
      </c>
      <c r="T639" s="304">
        <f t="shared" ca="1" si="262"/>
        <v>73.398419999999916</v>
      </c>
      <c r="U639" s="311">
        <f t="shared" ca="1" si="263"/>
        <v>0</v>
      </c>
      <c r="V639" s="306">
        <f t="shared" ca="1" si="264"/>
        <v>1.0918936061796747</v>
      </c>
      <c r="W639" s="304">
        <f t="shared" ca="1" si="265"/>
        <v>21.72125327701697</v>
      </c>
      <c r="Y639" s="314" t="str">
        <f t="shared" ca="1" si="283"/>
        <v/>
      </c>
      <c r="Z639" s="315" t="str">
        <f t="shared" ca="1" si="284"/>
        <v/>
      </c>
      <c r="AA639" s="316" t="str">
        <f t="shared" ca="1" si="285"/>
        <v/>
      </c>
      <c r="AC639" s="310" t="e">
        <f t="shared" ca="1" si="286"/>
        <v>#N/A</v>
      </c>
      <c r="AD639" s="323" t="e">
        <f t="shared" ca="1" si="287"/>
        <v>#N/A</v>
      </c>
      <c r="AE639" s="324" t="e">
        <f t="shared" ca="1" si="266"/>
        <v>#N/A</v>
      </c>
      <c r="AG639" s="306">
        <f t="shared" ca="1" si="288"/>
        <v>6.8595203833866769</v>
      </c>
      <c r="AH639" s="304">
        <f t="shared" ca="1" si="289"/>
        <v>-2.854942742837316</v>
      </c>
    </row>
    <row r="640" spans="1:34" x14ac:dyDescent="0.2">
      <c r="A640" s="347">
        <f t="shared" ca="1" si="267"/>
        <v>0.1</v>
      </c>
      <c r="B640" s="304">
        <f t="shared" ca="1" si="268"/>
        <v>27.60000000000008</v>
      </c>
      <c r="D640" s="306">
        <f t="shared" ca="1" si="269"/>
        <v>-0.39965168091406217</v>
      </c>
      <c r="E640" s="307">
        <f t="shared" ca="1" si="270"/>
        <v>-6.9345053999835002</v>
      </c>
      <c r="F640" s="304">
        <f t="shared" ca="1" si="271"/>
        <v>6.9460122810471443</v>
      </c>
      <c r="G640" s="306">
        <f t="shared" ca="1" si="272"/>
        <v>11.901546154132351</v>
      </c>
      <c r="H640" s="307">
        <f t="shared" ca="1" si="273"/>
        <v>-86.612647087739134</v>
      </c>
      <c r="I640" s="304">
        <f t="shared" ca="1" si="274"/>
        <v>87.426525931230898</v>
      </c>
      <c r="J640" s="306">
        <f t="shared" ca="1" si="275"/>
        <v>417.36580857368909</v>
      </c>
      <c r="K640" s="307">
        <f t="shared" ca="1" si="276"/>
        <v>1140.3807982767325</v>
      </c>
      <c r="L640" s="304">
        <f t="shared" ca="1" si="261"/>
        <v>1214.3568599240698</v>
      </c>
      <c r="M640" s="306">
        <f t="shared" ca="1" si="277"/>
        <v>-1.4342403359527909</v>
      </c>
      <c r="N640" s="304">
        <f t="shared" ca="1" si="278"/>
        <v>-82.175918057520221</v>
      </c>
      <c r="P640" s="310">
        <f t="shared" ca="1" si="279"/>
        <v>23</v>
      </c>
      <c r="Q640" s="304">
        <f t="shared" ca="1" si="280"/>
        <v>0</v>
      </c>
      <c r="R640" s="306">
        <f t="shared" ca="1" si="281"/>
        <v>0</v>
      </c>
      <c r="S640" s="307">
        <f t="shared" ca="1" si="282"/>
        <v>7.4819999999999904</v>
      </c>
      <c r="T640" s="304">
        <f t="shared" ca="1" si="262"/>
        <v>73.398419999999916</v>
      </c>
      <c r="U640" s="311">
        <f t="shared" ca="1" si="263"/>
        <v>0</v>
      </c>
      <c r="V640" s="306">
        <f t="shared" ca="1" si="264"/>
        <v>1.0928390430882995</v>
      </c>
      <c r="W640" s="304">
        <f t="shared" ca="1" si="265"/>
        <v>22.082973344532814</v>
      </c>
      <c r="Y640" s="314" t="str">
        <f t="shared" ca="1" si="283"/>
        <v/>
      </c>
      <c r="Z640" s="315" t="str">
        <f t="shared" ca="1" si="284"/>
        <v/>
      </c>
      <c r="AA640" s="316" t="str">
        <f t="shared" ca="1" si="285"/>
        <v/>
      </c>
      <c r="AC640" s="310" t="e">
        <f t="shared" ca="1" si="286"/>
        <v>#N/A</v>
      </c>
      <c r="AD640" s="323" t="e">
        <f t="shared" ca="1" si="287"/>
        <v>#N/A</v>
      </c>
      <c r="AE640" s="324" t="e">
        <f t="shared" ca="1" si="266"/>
        <v>#N/A</v>
      </c>
      <c r="AG640" s="306">
        <f t="shared" ca="1" si="288"/>
        <v>6.813466789799369</v>
      </c>
      <c r="AH640" s="304">
        <f t="shared" ca="1" si="289"/>
        <v>-2.9031346267063616</v>
      </c>
    </row>
    <row r="641" spans="1:34" x14ac:dyDescent="0.2">
      <c r="A641" s="347">
        <f t="shared" ca="1" si="267"/>
        <v>0.1</v>
      </c>
      <c r="B641" s="304">
        <f t="shared" ca="1" si="268"/>
        <v>27.700000000000081</v>
      </c>
      <c r="D641" s="306">
        <f t="shared" ca="1" si="269"/>
        <v>-0.40179081856719223</v>
      </c>
      <c r="E641" s="307">
        <f t="shared" ca="1" si="270"/>
        <v>-6.8859961839436297</v>
      </c>
      <c r="F641" s="304">
        <f t="shared" ca="1" si="271"/>
        <v>6.8977082648638541</v>
      </c>
      <c r="G641" s="306">
        <f t="shared" ca="1" si="272"/>
        <v>11.861367072275632</v>
      </c>
      <c r="H641" s="307">
        <f t="shared" ca="1" si="273"/>
        <v>-87.301246706133497</v>
      </c>
      <c r="I641" s="304">
        <f t="shared" ca="1" si="274"/>
        <v>88.103346731372525</v>
      </c>
      <c r="J641" s="306">
        <f t="shared" ca="1" si="275"/>
        <v>418.55395423500948</v>
      </c>
      <c r="K641" s="307">
        <f t="shared" ca="1" si="276"/>
        <v>1131.6851035870388</v>
      </c>
      <c r="L641" s="304">
        <f t="shared" ca="1" si="261"/>
        <v>1206.6062266897884</v>
      </c>
      <c r="M641" s="306">
        <f t="shared" ca="1" si="277"/>
        <v>-1.4357561186024914</v>
      </c>
      <c r="N641" s="304">
        <f t="shared" ca="1" si="278"/>
        <v>-82.262766006007226</v>
      </c>
      <c r="P641" s="310">
        <f t="shared" ca="1" si="279"/>
        <v>23</v>
      </c>
      <c r="Q641" s="304">
        <f t="shared" ca="1" si="280"/>
        <v>0</v>
      </c>
      <c r="R641" s="306">
        <f t="shared" ca="1" si="281"/>
        <v>0</v>
      </c>
      <c r="S641" s="307">
        <f t="shared" ca="1" si="282"/>
        <v>7.4819999999999904</v>
      </c>
      <c r="T641" s="304">
        <f t="shared" ca="1" si="262"/>
        <v>73.398419999999916</v>
      </c>
      <c r="U641" s="311">
        <f t="shared" ca="1" si="263"/>
        <v>0</v>
      </c>
      <c r="V641" s="306">
        <f t="shared" ca="1" si="264"/>
        <v>1.0937928345422108</v>
      </c>
      <c r="W641" s="304">
        <f t="shared" ca="1" si="265"/>
        <v>22.445784530578635</v>
      </c>
      <c r="Y641" s="314" t="str">
        <f t="shared" ca="1" si="283"/>
        <v/>
      </c>
      <c r="Z641" s="315" t="str">
        <f t="shared" ca="1" si="284"/>
        <v/>
      </c>
      <c r="AA641" s="316" t="str">
        <f t="shared" ca="1" si="285"/>
        <v/>
      </c>
      <c r="AC641" s="310" t="e">
        <f t="shared" ca="1" si="286"/>
        <v>#N/A</v>
      </c>
      <c r="AD641" s="323" t="e">
        <f t="shared" ca="1" si="287"/>
        <v>#N/A</v>
      </c>
      <c r="AE641" s="324" t="e">
        <f t="shared" ca="1" si="266"/>
        <v>#N/A</v>
      </c>
      <c r="AG641" s="306">
        <f t="shared" ca="1" si="288"/>
        <v>6.7671958716662033</v>
      </c>
      <c r="AH641" s="304">
        <f t="shared" ca="1" si="289"/>
        <v>-2.9514799979327511</v>
      </c>
    </row>
    <row r="642" spans="1:34" x14ac:dyDescent="0.2">
      <c r="A642" s="347">
        <f t="shared" ca="1" si="267"/>
        <v>0.1</v>
      </c>
      <c r="B642" s="304">
        <f t="shared" ca="1" si="268"/>
        <v>27.800000000000082</v>
      </c>
      <c r="D642" s="306">
        <f t="shared" ca="1" si="269"/>
        <v>-0.40388658262049137</v>
      </c>
      <c r="E642" s="307">
        <f t="shared" ca="1" si="270"/>
        <v>-6.8373407798782493</v>
      </c>
      <c r="F642" s="304">
        <f t="shared" ca="1" si="271"/>
        <v>6.849259325781655</v>
      </c>
      <c r="G642" s="306">
        <f t="shared" ca="1" si="272"/>
        <v>11.820978414013583</v>
      </c>
      <c r="H642" s="307">
        <f t="shared" ca="1" si="273"/>
        <v>-87.984980784121319</v>
      </c>
      <c r="I642" s="304">
        <f t="shared" ca="1" si="274"/>
        <v>88.775516750097111</v>
      </c>
      <c r="J642" s="306">
        <f t="shared" ca="1" si="275"/>
        <v>419.73807150932396</v>
      </c>
      <c r="K642" s="307">
        <f t="shared" ca="1" si="276"/>
        <v>1122.9207922125261</v>
      </c>
      <c r="L642" s="304">
        <f t="shared" ca="1" si="261"/>
        <v>1198.8040516521346</v>
      </c>
      <c r="M642" s="306">
        <f t="shared" ca="1" si="277"/>
        <v>-1.4372438286591818</v>
      </c>
      <c r="N642" s="304">
        <f t="shared" ca="1" si="278"/>
        <v>-82.348005513394753</v>
      </c>
      <c r="P642" s="310">
        <f t="shared" ca="1" si="279"/>
        <v>23</v>
      </c>
      <c r="Q642" s="304">
        <f t="shared" ca="1" si="280"/>
        <v>0</v>
      </c>
      <c r="R642" s="306">
        <f t="shared" ca="1" si="281"/>
        <v>0</v>
      </c>
      <c r="S642" s="307">
        <f t="shared" ca="1" si="282"/>
        <v>7.4819999999999904</v>
      </c>
      <c r="T642" s="304">
        <f t="shared" ca="1" si="262"/>
        <v>73.398419999999916</v>
      </c>
      <c r="U642" s="311">
        <f t="shared" ca="1" si="263"/>
        <v>0</v>
      </c>
      <c r="V642" s="306">
        <f t="shared" ca="1" si="264"/>
        <v>1.0947549468662985</v>
      </c>
      <c r="W642" s="304">
        <f t="shared" ca="1" si="265"/>
        <v>22.80962985382423</v>
      </c>
      <c r="Y642" s="314" t="str">
        <f t="shared" ca="1" si="283"/>
        <v/>
      </c>
      <c r="Z642" s="315" t="str">
        <f t="shared" ca="1" si="284"/>
        <v/>
      </c>
      <c r="AA642" s="316" t="str">
        <f t="shared" ca="1" si="285"/>
        <v/>
      </c>
      <c r="AC642" s="310" t="e">
        <f t="shared" ca="1" si="286"/>
        <v>#N/A</v>
      </c>
      <c r="AD642" s="323" t="e">
        <f t="shared" ca="1" si="287"/>
        <v>#N/A</v>
      </c>
      <c r="AE642" s="324" t="e">
        <f t="shared" ca="1" si="266"/>
        <v>#N/A</v>
      </c>
      <c r="AG642" s="306">
        <f t="shared" ca="1" si="288"/>
        <v>6.7207177615102331</v>
      </c>
      <c r="AH642" s="304">
        <f t="shared" ca="1" si="289"/>
        <v>-2.9999712016277282</v>
      </c>
    </row>
    <row r="643" spans="1:34" x14ac:dyDescent="0.2">
      <c r="A643" s="347">
        <f t="shared" ca="1" si="267"/>
        <v>0.1</v>
      </c>
      <c r="B643" s="304">
        <f t="shared" ca="1" si="268"/>
        <v>27.900000000000084</v>
      </c>
      <c r="D643" s="306">
        <f t="shared" ca="1" si="269"/>
        <v>-0.40593897354703873</v>
      </c>
      <c r="E643" s="307">
        <f t="shared" ca="1" si="270"/>
        <v>-6.7885468227637764</v>
      </c>
      <c r="F643" s="304">
        <f t="shared" ca="1" si="271"/>
        <v>6.8006730854453359</v>
      </c>
      <c r="G643" s="306">
        <f t="shared" ca="1" si="272"/>
        <v>11.780384516658879</v>
      </c>
      <c r="H643" s="307">
        <f t="shared" ca="1" si="273"/>
        <v>-88.6638354663977</v>
      </c>
      <c r="I643" s="304">
        <f t="shared" ca="1" si="274"/>
        <v>89.443016378992823</v>
      </c>
      <c r="J643" s="306">
        <f t="shared" ca="1" si="275"/>
        <v>420.9181396558576</v>
      </c>
      <c r="K643" s="307">
        <f t="shared" ca="1" si="276"/>
        <v>1114.0883514000002</v>
      </c>
      <c r="L643" s="304">
        <f t="shared" ca="1" si="261"/>
        <v>1190.9512731495433</v>
      </c>
      <c r="M643" s="306">
        <f t="shared" ca="1" si="277"/>
        <v>-1.4387042660389289</v>
      </c>
      <c r="N643" s="304">
        <f t="shared" ca="1" si="278"/>
        <v>-82.431682411497405</v>
      </c>
      <c r="P643" s="310">
        <f t="shared" ca="1" si="279"/>
        <v>23</v>
      </c>
      <c r="Q643" s="304">
        <f t="shared" ca="1" si="280"/>
        <v>0</v>
      </c>
      <c r="R643" s="306">
        <f t="shared" ca="1" si="281"/>
        <v>0</v>
      </c>
      <c r="S643" s="307">
        <f t="shared" ca="1" si="282"/>
        <v>7.4819999999999904</v>
      </c>
      <c r="T643" s="304">
        <f t="shared" ca="1" si="262"/>
        <v>73.398419999999916</v>
      </c>
      <c r="U643" s="311">
        <f t="shared" ca="1" si="263"/>
        <v>0</v>
      </c>
      <c r="V643" s="306">
        <f t="shared" ca="1" si="264"/>
        <v>1.0957253462473546</v>
      </c>
      <c r="W643" s="304">
        <f t="shared" ca="1" si="265"/>
        <v>23.174452640011463</v>
      </c>
      <c r="Y643" s="314" t="str">
        <f t="shared" ca="1" si="283"/>
        <v/>
      </c>
      <c r="Z643" s="315" t="str">
        <f t="shared" ca="1" si="284"/>
        <v/>
      </c>
      <c r="AA643" s="316" t="str">
        <f t="shared" ca="1" si="285"/>
        <v/>
      </c>
      <c r="AC643" s="310" t="e">
        <f t="shared" ca="1" si="286"/>
        <v>#N/A</v>
      </c>
      <c r="AD643" s="323" t="e">
        <f t="shared" ca="1" si="287"/>
        <v>#N/A</v>
      </c>
      <c r="AE643" s="324" t="e">
        <f t="shared" ca="1" si="266"/>
        <v>#N/A</v>
      </c>
      <c r="AG643" s="306">
        <f t="shared" ca="1" si="288"/>
        <v>6.6740424342122964</v>
      </c>
      <c r="AH643" s="304">
        <f t="shared" ca="1" si="289"/>
        <v>-3.0486006220027075</v>
      </c>
    </row>
    <row r="644" spans="1:34" x14ac:dyDescent="0.2">
      <c r="A644" s="347">
        <f t="shared" ca="1" si="267"/>
        <v>0.1</v>
      </c>
      <c r="B644" s="304">
        <f t="shared" ca="1" si="268"/>
        <v>28.000000000000085</v>
      </c>
      <c r="D644" s="306">
        <f t="shared" ca="1" si="269"/>
        <v>-0.40794800226046174</v>
      </c>
      <c r="E644" s="307">
        <f t="shared" ca="1" si="270"/>
        <v>-6.7396219066433556</v>
      </c>
      <c r="F644" s="304">
        <f t="shared" ca="1" si="271"/>
        <v>6.7519571249420212</v>
      </c>
      <c r="G644" s="306">
        <f t="shared" ca="1" si="272"/>
        <v>11.739589716432834</v>
      </c>
      <c r="H644" s="307">
        <f t="shared" ca="1" si="273"/>
        <v>-89.33779765706204</v>
      </c>
      <c r="I644" s="304">
        <f t="shared" ca="1" si="274"/>
        <v>90.10582698651811</v>
      </c>
      <c r="J644" s="306">
        <f t="shared" ca="1" si="275"/>
        <v>422.09413836751219</v>
      </c>
      <c r="K644" s="307">
        <f t="shared" ca="1" si="276"/>
        <v>1105.1882697438273</v>
      </c>
      <c r="L644" s="304">
        <f t="shared" ref="L644:L707" ca="1" si="290">SQRT(pos_x^2+pos_z^2)</f>
        <v>1183.0488465078554</v>
      </c>
      <c r="M644" s="306">
        <f t="shared" ca="1" si="277"/>
        <v>-1.4401382005213816</v>
      </c>
      <c r="N644" s="304">
        <f t="shared" ca="1" si="278"/>
        <v>-82.513840805440225</v>
      </c>
      <c r="P644" s="310">
        <f t="shared" ca="1" si="279"/>
        <v>23</v>
      </c>
      <c r="Q644" s="304">
        <f t="shared" ca="1" si="280"/>
        <v>0</v>
      </c>
      <c r="R644" s="306">
        <f t="shared" ca="1" si="281"/>
        <v>0</v>
      </c>
      <c r="S644" s="307">
        <f t="shared" ca="1" si="282"/>
        <v>7.4819999999999904</v>
      </c>
      <c r="T644" s="304">
        <f t="shared" ref="T644:T707" ca="1" si="291">m*g</f>
        <v>73.398419999999916</v>
      </c>
      <c r="U644" s="311">
        <f t="shared" ref="U644:U707" ca="1" si="292">IF(pos_xz&lt;L_rampe,Poids*COS(Beta),0)</f>
        <v>0</v>
      </c>
      <c r="V644" s="306">
        <f t="shared" ref="V644:V707" ca="1" si="293">Rho_moyen*(20000-Alt_rampe-pos_z)/(20000+Alt_rampe+pos_z)</f>
        <v>1.0967039987388258</v>
      </c>
      <c r="W644" s="304">
        <f t="shared" ref="W644:W707" ca="1" si="294">1/2*Rho*Sref*Cx*vit_xz^2</f>
        <v>23.540196536180087</v>
      </c>
      <c r="Y644" s="314" t="str">
        <f t="shared" ca="1" si="283"/>
        <v/>
      </c>
      <c r="Z644" s="315" t="str">
        <f t="shared" ca="1" si="284"/>
        <v/>
      </c>
      <c r="AA644" s="316" t="str">
        <f t="shared" ca="1" si="285"/>
        <v/>
      </c>
      <c r="AC644" s="310">
        <f t="shared" ca="1" si="286"/>
        <v>28.000000000000085</v>
      </c>
      <c r="AD644" s="323">
        <f t="shared" ca="1" si="287"/>
        <v>422.09413836751219</v>
      </c>
      <c r="AE644" s="324" t="e">
        <f t="shared" ref="AE644:AE707" ca="1" si="295">IF(t&lt;T_para, pos_z, NA())</f>
        <v>#N/A</v>
      </c>
      <c r="AG644" s="306">
        <f t="shared" ca="1" si="288"/>
        <v>6.6271797117761722</v>
      </c>
      <c r="AH644" s="304">
        <f t="shared" ca="1" si="289"/>
        <v>-3.0973606843105443</v>
      </c>
    </row>
    <row r="645" spans="1:34" x14ac:dyDescent="0.2">
      <c r="A645" s="347">
        <f t="shared" ref="A645:A708" ca="1" si="296">IF(B644+0.01&lt;=T_ini+ROUNDUP(Temps_fin_propu,0), 0.01, IF(K644&gt;0, 0.1, 0.0001))</f>
        <v>0.1</v>
      </c>
      <c r="B645" s="304">
        <f t="shared" ref="B645:B708" ca="1" si="297">B644+pas</f>
        <v>28.100000000000087</v>
      </c>
      <c r="D645" s="306">
        <f t="shared" ref="D645:D708" ca="1" si="298">IF(AND(L644&lt;L_rampe,Poussee&lt;Poids*SIN(M644)),0,(-W644+Poussee)/m*COS(M644)-U644/m*SIN(M644))</f>
        <v>-0.40991368995017413</v>
      </c>
      <c r="E645" s="307">
        <f t="shared" ref="E645:E708" ca="1" si="299">IF(AND(L644&lt;L_rampe,Poussee&lt;Poids*SIN(M644)),0,(-W644+Poussee)/m*SIN(M644)+U644/m*COS(M644)-Poids/m)</f>
        <v>-6.690573582706449</v>
      </c>
      <c r="F645" s="304">
        <f t="shared" ref="F645:F708" ca="1" si="300">SQRT(acc_x^2+acc_z^2)</f>
        <v>6.7031189828928124</v>
      </c>
      <c r="G645" s="306">
        <f t="shared" ref="G645:G708" ca="1" si="301">G644+acc_x*pas</f>
        <v>11.698598347437816</v>
      </c>
      <c r="H645" s="307">
        <f t="shared" ref="H645:H708" ca="1" si="302">H644+acc_z*pas</f>
        <v>-90.00685501533269</v>
      </c>
      <c r="I645" s="304">
        <f t="shared" ref="I645:I708" ca="1" si="303">SQRT(vit_x^2+vit_z^2)</f>
        <v>90.763930903447516</v>
      </c>
      <c r="J645" s="306">
        <f t="shared" ref="J645:J708" ca="1" si="304">J644+0.5*(vit_x+G644)*pas*(K644&gt;=0)</f>
        <v>423.26604777070571</v>
      </c>
      <c r="K645" s="307">
        <f t="shared" ref="K645:K708" ca="1" si="305">K644+0.5*(vit_z+H644)*pas</f>
        <v>1096.2210371102076</v>
      </c>
      <c r="L645" s="304">
        <f t="shared" ca="1" si="290"/>
        <v>1175.0977446146394</v>
      </c>
      <c r="M645" s="306">
        <f t="shared" ref="M645:M708" ca="1" si="306">IF(AND(L644&gt;L_rampe,G645&gt;0),ATAN2(G645,H645),$M$4)</f>
        <v>-1.4415463731439155</v>
      </c>
      <c r="N645" s="304">
        <f t="shared" ref="N645:N708" ca="1" si="307">DEGREES(Beta)</f>
        <v>-82.594523153537281</v>
      </c>
      <c r="P645" s="310">
        <f t="shared" ref="P645:P708" ca="1" si="308">MATCH(t-pas/2-T_ini,CdP_t)</f>
        <v>23</v>
      </c>
      <c r="Q645" s="304">
        <f t="shared" ref="Q645:Q708" ca="1" si="309">(INDEX(CdP,2,i_P+1)-INDEX(CdP,2,i_P+0))/(INDEX(CdP,1,i_P+1)-INDEX(CdP,1,i_P+0))*(t-pas/2-T_ini-INDEX(CdP,1,i_P+0))+INDEX(CdP,2,i_P+0)</f>
        <v>0</v>
      </c>
      <c r="R645" s="306">
        <f t="shared" ref="R645:R708" ca="1" si="310">Poussee/(g*ISP)</f>
        <v>0</v>
      </c>
      <c r="S645" s="307">
        <f t="shared" ref="S645:S708" ca="1" si="311">S644-Débit*pas</f>
        <v>7.4819999999999904</v>
      </c>
      <c r="T645" s="304">
        <f t="shared" ca="1" si="291"/>
        <v>73.398419999999916</v>
      </c>
      <c r="U645" s="311">
        <f t="shared" ca="1" si="292"/>
        <v>0</v>
      </c>
      <c r="V645" s="306">
        <f t="shared" ca="1" si="293"/>
        <v>1.0976908702655543</v>
      </c>
      <c r="W645" s="304">
        <f t="shared" ca="1" si="294"/>
        <v>23.906805524591086</v>
      </c>
      <c r="Y645" s="314" t="str">
        <f t="shared" ref="Y645:Y708" ca="1" si="312">IF(AND(pos_z&lt;=0,K644&gt;0),"Impact balistique","") &amp; IF(AND(H646&lt;0,vit_z&gt;=0),"Apogée","") &amp; IF(AND(Poussee=0,Q644&gt;0),"Fin de propulsion","") &amp; IF(AND(L646&gt;L_rampe,pos_xz&lt;=L_rampe),"Sortie de rampe","")</f>
        <v/>
      </c>
      <c r="Z645" s="315" t="str">
        <f t="shared" ref="Z645:Z708" ca="1" si="313">IF(ABS(t-T_para)&lt;pas/2,"Para","")</f>
        <v/>
      </c>
      <c r="AA645" s="316" t="str">
        <f t="shared" ref="AA645:AA708" ca="1" si="314">IF(ABS(t-T_satellite)&lt;pas/2,"Satellite","")</f>
        <v/>
      </c>
      <c r="AC645" s="310" t="e">
        <f t="shared" ref="AC645:AC708" ca="1" si="315">IF(ABS(t-ROUND(t,0))&lt;0.001,t,NA())</f>
        <v>#N/A</v>
      </c>
      <c r="AD645" s="323" t="e">
        <f t="shared" ref="AD645:AD708" ca="1" si="316">IF(ABS(t-ROUND(t,0))&lt;0.001,pos_x,NA())</f>
        <v>#N/A</v>
      </c>
      <c r="AE645" s="324" t="e">
        <f t="shared" ca="1" si="295"/>
        <v>#N/A</v>
      </c>
      <c r="AG645" s="306">
        <f t="shared" ref="AG645:AG708" ca="1" si="317">IF(AND(L644&lt;L_rampe,Poussee&lt;Poids*SIN(M644)),0,(-W644+Poussee)/m-Poids*SIN(M644)/m)</f>
        <v>6.5801392676975503</v>
      </c>
      <c r="AH645" s="304">
        <f t="shared" ref="AH645:AH708" ca="1" si="318">IF(AND(L644&lt;L_rampe,Poussee&lt;Poids*SIN(M644)), g*SIN(M644), (-W644+Poussee)/m)</f>
        <v>-3.1462438567468749</v>
      </c>
    </row>
    <row r="646" spans="1:34" x14ac:dyDescent="0.2">
      <c r="A646" s="347">
        <f t="shared" ca="1" si="296"/>
        <v>0.1</v>
      </c>
      <c r="B646" s="304">
        <f t="shared" ca="1" si="297"/>
        <v>28.200000000000088</v>
      </c>
      <c r="D646" s="306">
        <f t="shared" ca="1" si="298"/>
        <v>-0.41183606791724781</v>
      </c>
      <c r="E646" s="307">
        <f t="shared" ca="1" si="299"/>
        <v>-6.6414093574098167</v>
      </c>
      <c r="F646" s="304">
        <f t="shared" ca="1" si="300"/>
        <v>6.6541661535859031</v>
      </c>
      <c r="G646" s="306">
        <f t="shared" ca="1" si="301"/>
        <v>11.657414740646091</v>
      </c>
      <c r="H646" s="307">
        <f t="shared" ca="1" si="302"/>
        <v>-90.670995951073678</v>
      </c>
      <c r="I646" s="304">
        <f t="shared" ca="1" si="303"/>
        <v>91.417311408699021</v>
      </c>
      <c r="J646" s="306">
        <f t="shared" ca="1" si="304"/>
        <v>424.43384842510989</v>
      </c>
      <c r="K646" s="307">
        <f t="shared" ca="1" si="305"/>
        <v>1087.1871445618872</v>
      </c>
      <c r="L646" s="304">
        <f t="shared" ca="1" si="290"/>
        <v>1167.0989585247598</v>
      </c>
      <c r="M646" s="306">
        <f t="shared" ca="1" si="306"/>
        <v>-1.4429294975196498</v>
      </c>
      <c r="N646" s="304">
        <f t="shared" ca="1" si="307"/>
        <v>-82.673770342808524</v>
      </c>
      <c r="P646" s="310">
        <f t="shared" ca="1" si="308"/>
        <v>23</v>
      </c>
      <c r="Q646" s="304">
        <f t="shared" ca="1" si="309"/>
        <v>0</v>
      </c>
      <c r="R646" s="306">
        <f t="shared" ca="1" si="310"/>
        <v>0</v>
      </c>
      <c r="S646" s="307">
        <f t="shared" ca="1" si="311"/>
        <v>7.4819999999999904</v>
      </c>
      <c r="T646" s="304">
        <f t="shared" ca="1" si="291"/>
        <v>73.398419999999916</v>
      </c>
      <c r="U646" s="311">
        <f t="shared" ca="1" si="292"/>
        <v>0</v>
      </c>
      <c r="V646" s="306">
        <f t="shared" ca="1" si="293"/>
        <v>1.0986859266285054</v>
      </c>
      <c r="W646" s="304">
        <f t="shared" ca="1" si="294"/>
        <v>24.274223936343887</v>
      </c>
      <c r="Y646" s="314" t="str">
        <f t="shared" ca="1" si="312"/>
        <v/>
      </c>
      <c r="Z646" s="315" t="str">
        <f t="shared" ca="1" si="313"/>
        <v/>
      </c>
      <c r="AA646" s="316" t="str">
        <f t="shared" ca="1" si="314"/>
        <v/>
      </c>
      <c r="AC646" s="310" t="e">
        <f t="shared" ca="1" si="315"/>
        <v>#N/A</v>
      </c>
      <c r="AD646" s="323" t="e">
        <f t="shared" ca="1" si="316"/>
        <v>#N/A</v>
      </c>
      <c r="AE646" s="324" t="e">
        <f t="shared" ca="1" si="295"/>
        <v>#N/A</v>
      </c>
      <c r="AG646" s="306">
        <f t="shared" ca="1" si="317"/>
        <v>6.5329306309692328</v>
      </c>
      <c r="AH646" s="304">
        <f t="shared" ca="1" si="318"/>
        <v>-3.1952426523110287</v>
      </c>
    </row>
    <row r="647" spans="1:34" x14ac:dyDescent="0.2">
      <c r="A647" s="347">
        <f t="shared" ca="1" si="296"/>
        <v>0.1</v>
      </c>
      <c r="B647" s="304">
        <f t="shared" ca="1" si="297"/>
        <v>28.30000000000009</v>
      </c>
      <c r="D647" s="306">
        <f t="shared" ca="1" si="298"/>
        <v>-0.41371517741081393</v>
      </c>
      <c r="E647" s="307">
        <f t="shared" ca="1" si="299"/>
        <v>-6.5921366906403307</v>
      </c>
      <c r="F647" s="304">
        <f t="shared" ca="1" si="300"/>
        <v>6.6051060851515855</v>
      </c>
      <c r="G647" s="306">
        <f t="shared" ca="1" si="301"/>
        <v>11.616043222905009</v>
      </c>
      <c r="H647" s="307">
        <f t="shared" ca="1" si="302"/>
        <v>-91.330209620137708</v>
      </c>
      <c r="I647" s="304">
        <f t="shared" ca="1" si="303"/>
        <v>92.065952715510903</v>
      </c>
      <c r="J647" s="306">
        <f t="shared" ca="1" si="304"/>
        <v>425.59752132328742</v>
      </c>
      <c r="K647" s="307">
        <f t="shared" ca="1" si="305"/>
        <v>1078.0870842833267</v>
      </c>
      <c r="L647" s="304">
        <f t="shared" ca="1" si="290"/>
        <v>1159.0534980987939</v>
      </c>
      <c r="M647" s="306">
        <f t="shared" ca="1" si="306"/>
        <v>-1.4442882610841143</v>
      </c>
      <c r="N647" s="304">
        <f t="shared" ca="1" si="307"/>
        <v>-82.751621760408497</v>
      </c>
      <c r="P647" s="310">
        <f t="shared" ca="1" si="308"/>
        <v>23</v>
      </c>
      <c r="Q647" s="304">
        <f t="shared" ca="1" si="309"/>
        <v>0</v>
      </c>
      <c r="R647" s="306">
        <f t="shared" ca="1" si="310"/>
        <v>0</v>
      </c>
      <c r="S647" s="307">
        <f t="shared" ca="1" si="311"/>
        <v>7.4819999999999904</v>
      </c>
      <c r="T647" s="304">
        <f t="shared" ca="1" si="291"/>
        <v>73.398419999999916</v>
      </c>
      <c r="U647" s="311">
        <f t="shared" ca="1" si="292"/>
        <v>0</v>
      </c>
      <c r="V647" s="306">
        <f t="shared" ca="1" si="293"/>
        <v>1.0996891335094814</v>
      </c>
      <c r="W647" s="304">
        <f t="shared" ca="1" si="294"/>
        <v>24.64239646468419</v>
      </c>
      <c r="Y647" s="314" t="str">
        <f t="shared" ca="1" si="312"/>
        <v/>
      </c>
      <c r="Z647" s="315" t="str">
        <f t="shared" ca="1" si="313"/>
        <v/>
      </c>
      <c r="AA647" s="316" t="str">
        <f t="shared" ca="1" si="314"/>
        <v/>
      </c>
      <c r="AC647" s="310" t="e">
        <f t="shared" ca="1" si="315"/>
        <v>#N/A</v>
      </c>
      <c r="AD647" s="323" t="e">
        <f t="shared" ca="1" si="316"/>
        <v>#N/A</v>
      </c>
      <c r="AE647" s="324" t="e">
        <f t="shared" ca="1" si="295"/>
        <v>#N/A</v>
      </c>
      <c r="AG647" s="306">
        <f t="shared" ca="1" si="317"/>
        <v>6.485563189752459</v>
      </c>
      <c r="AH647" s="304">
        <f t="shared" ca="1" si="318"/>
        <v>-3.2443496306260249</v>
      </c>
    </row>
    <row r="648" spans="1:34" x14ac:dyDescent="0.2">
      <c r="A648" s="347">
        <f t="shared" ca="1" si="296"/>
        <v>0.1</v>
      </c>
      <c r="B648" s="304">
        <f t="shared" ca="1" si="297"/>
        <v>28.400000000000091</v>
      </c>
      <c r="D648" s="306">
        <f t="shared" ca="1" si="298"/>
        <v>-0.41555106946488179</v>
      </c>
      <c r="E648" s="307">
        <f t="shared" ca="1" si="299"/>
        <v>-6.5427629939199958</v>
      </c>
      <c r="F648" s="304">
        <f t="shared" ca="1" si="300"/>
        <v>6.5559461777795551</v>
      </c>
      <c r="G648" s="306">
        <f t="shared" ca="1" si="301"/>
        <v>11.574488115958522</v>
      </c>
      <c r="H648" s="307">
        <f t="shared" ca="1" si="302"/>
        <v>-91.984485919529703</v>
      </c>
      <c r="I648" s="304">
        <f t="shared" ca="1" si="303"/>
        <v>92.709839957938783</v>
      </c>
      <c r="J648" s="306">
        <f t="shared" ca="1" si="304"/>
        <v>426.75704789023058</v>
      </c>
      <c r="K648" s="307">
        <f t="shared" ca="1" si="305"/>
        <v>1068.9213495063434</v>
      </c>
      <c r="L648" s="304">
        <f t="shared" ca="1" si="290"/>
        <v>1150.9623926759932</v>
      </c>
      <c r="M648" s="306">
        <f t="shared" ca="1" si="306"/>
        <v>-1.4456233262749916</v>
      </c>
      <c r="N648" s="304">
        <f t="shared" ca="1" si="307"/>
        <v>-82.828115361220583</v>
      </c>
      <c r="P648" s="310">
        <f t="shared" ca="1" si="308"/>
        <v>23</v>
      </c>
      <c r="Q648" s="304">
        <f t="shared" ca="1" si="309"/>
        <v>0</v>
      </c>
      <c r="R648" s="306">
        <f t="shared" ca="1" si="310"/>
        <v>0</v>
      </c>
      <c r="S648" s="307">
        <f t="shared" ca="1" si="311"/>
        <v>7.4819999999999904</v>
      </c>
      <c r="T648" s="304">
        <f t="shared" ca="1" si="291"/>
        <v>73.398419999999916</v>
      </c>
      <c r="U648" s="311">
        <f t="shared" ca="1" si="292"/>
        <v>0</v>
      </c>
      <c r="V648" s="306">
        <f t="shared" ca="1" si="293"/>
        <v>1.1007004564758174</v>
      </c>
      <c r="W648" s="304">
        <f t="shared" ca="1" si="294"/>
        <v>25.011268177999369</v>
      </c>
      <c r="Y648" s="314" t="str">
        <f t="shared" ca="1" si="312"/>
        <v/>
      </c>
      <c r="Z648" s="315" t="str">
        <f t="shared" ca="1" si="313"/>
        <v/>
      </c>
      <c r="AA648" s="316" t="str">
        <f t="shared" ca="1" si="314"/>
        <v/>
      </c>
      <c r="AC648" s="310" t="e">
        <f t="shared" ca="1" si="315"/>
        <v>#N/A</v>
      </c>
      <c r="AD648" s="323" t="e">
        <f t="shared" ca="1" si="316"/>
        <v>#N/A</v>
      </c>
      <c r="AE648" s="324" t="e">
        <f t="shared" ca="1" si="295"/>
        <v>#N/A</v>
      </c>
      <c r="AG648" s="306">
        <f t="shared" ca="1" si="317"/>
        <v>6.4380461947417036</v>
      </c>
      <c r="AH648" s="304">
        <f t="shared" ca="1" si="318"/>
        <v>-3.2935573997172174</v>
      </c>
    </row>
    <row r="649" spans="1:34" x14ac:dyDescent="0.2">
      <c r="A649" s="347">
        <f t="shared" ca="1" si="296"/>
        <v>0.1</v>
      </c>
      <c r="B649" s="304">
        <f t="shared" ca="1" si="297"/>
        <v>28.500000000000092</v>
      </c>
      <c r="D649" s="306">
        <f t="shared" ca="1" si="298"/>
        <v>-0.41734380473552135</v>
      </c>
      <c r="E649" s="307">
        <f t="shared" ca="1" si="299"/>
        <v>-6.4932956286535175</v>
      </c>
      <c r="F649" s="304">
        <f t="shared" ca="1" si="300"/>
        <v>6.5066937819788322</v>
      </c>
      <c r="G649" s="306">
        <f t="shared" ca="1" si="301"/>
        <v>11.53275373548497</v>
      </c>
      <c r="H649" s="307">
        <f t="shared" ca="1" si="302"/>
        <v>-92.63381548239505</v>
      </c>
      <c r="I649" s="304">
        <f t="shared" ca="1" si="303"/>
        <v>93.348959177645654</v>
      </c>
      <c r="J649" s="306">
        <f t="shared" ca="1" si="304"/>
        <v>427.91240998280273</v>
      </c>
      <c r="K649" s="307">
        <f t="shared" ca="1" si="305"/>
        <v>1059.6904344362472</v>
      </c>
      <c r="L649" s="304">
        <f t="shared" ca="1" si="290"/>
        <v>1142.8266917835672</v>
      </c>
      <c r="M649" s="306">
        <f t="shared" ca="1" si="306"/>
        <v>-1.4469353316490687</v>
      </c>
      <c r="N649" s="304">
        <f t="shared" ca="1" si="307"/>
        <v>-82.903287731853695</v>
      </c>
      <c r="P649" s="310">
        <f t="shared" ca="1" si="308"/>
        <v>23</v>
      </c>
      <c r="Q649" s="304">
        <f t="shared" ca="1" si="309"/>
        <v>0</v>
      </c>
      <c r="R649" s="306">
        <f t="shared" ca="1" si="310"/>
        <v>0</v>
      </c>
      <c r="S649" s="307">
        <f t="shared" ca="1" si="311"/>
        <v>7.4819999999999904</v>
      </c>
      <c r="T649" s="304">
        <f t="shared" ca="1" si="291"/>
        <v>73.398419999999916</v>
      </c>
      <c r="U649" s="311">
        <f t="shared" ca="1" si="292"/>
        <v>0</v>
      </c>
      <c r="V649" s="306">
        <f t="shared" ca="1" si="293"/>
        <v>1.1017198609850645</v>
      </c>
      <c r="W649" s="304">
        <f t="shared" ca="1" si="294"/>
        <v>25.380784532498652</v>
      </c>
      <c r="Y649" s="314" t="str">
        <f t="shared" ca="1" si="312"/>
        <v/>
      </c>
      <c r="Z649" s="315" t="str">
        <f t="shared" ca="1" si="313"/>
        <v/>
      </c>
      <c r="AA649" s="316" t="str">
        <f t="shared" ca="1" si="314"/>
        <v/>
      </c>
      <c r="AC649" s="310" t="e">
        <f t="shared" ca="1" si="315"/>
        <v>#N/A</v>
      </c>
      <c r="AD649" s="323" t="e">
        <f t="shared" ca="1" si="316"/>
        <v>#N/A</v>
      </c>
      <c r="AE649" s="324" t="e">
        <f t="shared" ca="1" si="295"/>
        <v>#N/A</v>
      </c>
      <c r="AG649" s="306">
        <f t="shared" ca="1" si="317"/>
        <v>6.3903887622482216</v>
      </c>
      <c r="AH649" s="304">
        <f t="shared" ca="1" si="318"/>
        <v>-3.3428586177491848</v>
      </c>
    </row>
    <row r="650" spans="1:34" x14ac:dyDescent="0.2">
      <c r="A650" s="347">
        <f t="shared" ca="1" si="296"/>
        <v>0.1</v>
      </c>
      <c r="B650" s="304">
        <f t="shared" ca="1" si="297"/>
        <v>28.600000000000094</v>
      </c>
      <c r="D650" s="306">
        <f t="shared" ca="1" si="298"/>
        <v>-0.41909345333831172</v>
      </c>
      <c r="E650" s="307">
        <f t="shared" ca="1" si="299"/>
        <v>-6.4437419044187729</v>
      </c>
      <c r="F650" s="304">
        <f t="shared" ca="1" si="300"/>
        <v>6.4573561968806947</v>
      </c>
      <c r="G650" s="306">
        <f t="shared" ca="1" si="301"/>
        <v>11.490844390151139</v>
      </c>
      <c r="H650" s="307">
        <f t="shared" ca="1" si="302"/>
        <v>-93.27818967283693</v>
      </c>
      <c r="I650" s="304">
        <f t="shared" ca="1" si="303"/>
        <v>93.98329731096058</v>
      </c>
      <c r="J650" s="306">
        <f t="shared" ca="1" si="304"/>
        <v>429.06358988908454</v>
      </c>
      <c r="K650" s="307">
        <f t="shared" ca="1" si="305"/>
        <v>1050.3948341784856</v>
      </c>
      <c r="L650" s="304">
        <f t="shared" ca="1" si="290"/>
        <v>1134.6474658841648</v>
      </c>
      <c r="M650" s="306">
        <f t="shared" ca="1" si="306"/>
        <v>-1.4482248929402317</v>
      </c>
      <c r="N650" s="304">
        <f t="shared" ca="1" si="307"/>
        <v>-82.977174151260769</v>
      </c>
      <c r="P650" s="310">
        <f t="shared" ca="1" si="308"/>
        <v>23</v>
      </c>
      <c r="Q650" s="304">
        <f t="shared" ca="1" si="309"/>
        <v>0</v>
      </c>
      <c r="R650" s="306">
        <f t="shared" ca="1" si="310"/>
        <v>0</v>
      </c>
      <c r="S650" s="307">
        <f t="shared" ca="1" si="311"/>
        <v>7.4819999999999904</v>
      </c>
      <c r="T650" s="304">
        <f t="shared" ca="1" si="291"/>
        <v>73.398419999999916</v>
      </c>
      <c r="U650" s="311">
        <f t="shared" ca="1" si="292"/>
        <v>0</v>
      </c>
      <c r="V650" s="306">
        <f t="shared" ca="1" si="293"/>
        <v>1.102747312389653</v>
      </c>
      <c r="W650" s="304">
        <f t="shared" ca="1" si="294"/>
        <v>25.750891384575642</v>
      </c>
      <c r="Y650" s="314" t="str">
        <f t="shared" ca="1" si="312"/>
        <v/>
      </c>
      <c r="Z650" s="315" t="str">
        <f t="shared" ca="1" si="313"/>
        <v/>
      </c>
      <c r="AA650" s="316" t="str">
        <f t="shared" ca="1" si="314"/>
        <v/>
      </c>
      <c r="AC650" s="310" t="e">
        <f t="shared" ca="1" si="315"/>
        <v>#N/A</v>
      </c>
      <c r="AD650" s="323" t="e">
        <f t="shared" ca="1" si="316"/>
        <v>#N/A</v>
      </c>
      <c r="AE650" s="324" t="e">
        <f t="shared" ca="1" si="295"/>
        <v>#N/A</v>
      </c>
      <c r="AG650" s="306">
        <f t="shared" ca="1" si="317"/>
        <v>6.3425998770255756</v>
      </c>
      <c r="AH650" s="304">
        <f t="shared" ca="1" si="318"/>
        <v>-3.3922459947204868</v>
      </c>
    </row>
    <row r="651" spans="1:34" x14ac:dyDescent="0.2">
      <c r="A651" s="347">
        <f t="shared" ca="1" si="296"/>
        <v>0.1</v>
      </c>
      <c r="B651" s="304">
        <f t="shared" ca="1" si="297"/>
        <v>28.700000000000095</v>
      </c>
      <c r="D651" s="306">
        <f t="shared" ca="1" si="298"/>
        <v>-0.42080009468602103</v>
      </c>
      <c r="E651" s="307">
        <f t="shared" ca="1" si="299"/>
        <v>-6.3941090773004428</v>
      </c>
      <c r="F651" s="304">
        <f t="shared" ca="1" si="300"/>
        <v>6.4079406685848523</v>
      </c>
      <c r="G651" s="306">
        <f t="shared" ca="1" si="301"/>
        <v>11.448764380682537</v>
      </c>
      <c r="H651" s="307">
        <f t="shared" ca="1" si="302"/>
        <v>-93.917600580566969</v>
      </c>
      <c r="I651" s="304">
        <f t="shared" ca="1" si="303"/>
        <v>94.612842176182923</v>
      </c>
      <c r="J651" s="306">
        <f t="shared" ca="1" si="304"/>
        <v>430.21057032762621</v>
      </c>
      <c r="K651" s="307">
        <f t="shared" ca="1" si="305"/>
        <v>1041.0350446658153</v>
      </c>
      <c r="L651" s="304">
        <f t="shared" ca="1" si="290"/>
        <v>1126.4258071635156</v>
      </c>
      <c r="M651" s="306">
        <f t="shared" ca="1" si="306"/>
        <v>-1.4494926040620795</v>
      </c>
      <c r="N651" s="304">
        <f t="shared" ca="1" si="307"/>
        <v>-83.049808648184438</v>
      </c>
      <c r="P651" s="310">
        <f t="shared" ca="1" si="308"/>
        <v>23</v>
      </c>
      <c r="Q651" s="304">
        <f t="shared" ca="1" si="309"/>
        <v>0</v>
      </c>
      <c r="R651" s="306">
        <f t="shared" ca="1" si="310"/>
        <v>0</v>
      </c>
      <c r="S651" s="307">
        <f t="shared" ca="1" si="311"/>
        <v>7.4819999999999904</v>
      </c>
      <c r="T651" s="304">
        <f t="shared" ca="1" si="291"/>
        <v>73.398419999999916</v>
      </c>
      <c r="U651" s="311">
        <f t="shared" ca="1" si="292"/>
        <v>0</v>
      </c>
      <c r="V651" s="306">
        <f t="shared" ca="1" si="293"/>
        <v>1.1037827759415362</v>
      </c>
      <c r="W651" s="304">
        <f t="shared" ca="1" si="294"/>
        <v>26.121535002850695</v>
      </c>
      <c r="Y651" s="314" t="str">
        <f t="shared" ca="1" si="312"/>
        <v/>
      </c>
      <c r="Z651" s="315" t="str">
        <f t="shared" ca="1" si="313"/>
        <v/>
      </c>
      <c r="AA651" s="316" t="str">
        <f t="shared" ca="1" si="314"/>
        <v/>
      </c>
      <c r="AC651" s="310" t="e">
        <f t="shared" ca="1" si="315"/>
        <v>#N/A</v>
      </c>
      <c r="AD651" s="323" t="e">
        <f t="shared" ca="1" si="316"/>
        <v>#N/A</v>
      </c>
      <c r="AE651" s="324" t="e">
        <f t="shared" ca="1" si="295"/>
        <v>#N/A</v>
      </c>
      <c r="AG651" s="306">
        <f t="shared" ca="1" si="317"/>
        <v>6.2946883948585164</v>
      </c>
      <c r="AH651" s="304">
        <f t="shared" ca="1" si="318"/>
        <v>-3.4417122941159684</v>
      </c>
    </row>
    <row r="652" spans="1:34" x14ac:dyDescent="0.2">
      <c r="A652" s="347">
        <f t="shared" ca="1" si="296"/>
        <v>0.1</v>
      </c>
      <c r="B652" s="304">
        <f t="shared" ca="1" si="297"/>
        <v>28.800000000000097</v>
      </c>
      <c r="D652" s="306">
        <f t="shared" ca="1" si="298"/>
        <v>-0.42246381732645677</v>
      </c>
      <c r="E652" s="307">
        <f t="shared" ca="1" si="299"/>
        <v>-6.3444043482671084</v>
      </c>
      <c r="F652" s="304">
        <f t="shared" ca="1" si="300"/>
        <v>6.3584543885492044</v>
      </c>
      <c r="G652" s="306">
        <f t="shared" ca="1" si="301"/>
        <v>11.406517998949891</v>
      </c>
      <c r="H652" s="307">
        <f t="shared" ca="1" si="302"/>
        <v>-94.552041015393684</v>
      </c>
      <c r="I652" s="304">
        <f t="shared" ca="1" si="303"/>
        <v>95.237582461111742</v>
      </c>
      <c r="J652" s="306">
        <f t="shared" ca="1" si="304"/>
        <v>431.35333444660785</v>
      </c>
      <c r="K652" s="307">
        <f t="shared" ca="1" si="305"/>
        <v>1031.6115625860173</v>
      </c>
      <c r="L652" s="304">
        <f t="shared" ca="1" si="290"/>
        <v>1118.1628303603065</v>
      </c>
      <c r="M652" s="306">
        <f t="shared" ca="1" si="306"/>
        <v>-1.4507390380584884</v>
      </c>
      <c r="N652" s="304">
        <f t="shared" ca="1" si="307"/>
        <v>-83.121224055620289</v>
      </c>
      <c r="P652" s="310">
        <f t="shared" ca="1" si="308"/>
        <v>23</v>
      </c>
      <c r="Q652" s="304">
        <f t="shared" ca="1" si="309"/>
        <v>0</v>
      </c>
      <c r="R652" s="306">
        <f t="shared" ca="1" si="310"/>
        <v>0</v>
      </c>
      <c r="S652" s="307">
        <f t="shared" ca="1" si="311"/>
        <v>7.4819999999999904</v>
      </c>
      <c r="T652" s="304">
        <f t="shared" ca="1" si="291"/>
        <v>73.398419999999916</v>
      </c>
      <c r="U652" s="311">
        <f t="shared" ca="1" si="292"/>
        <v>0</v>
      </c>
      <c r="V652" s="306">
        <f t="shared" ca="1" si="293"/>
        <v>1.1048262167968184</v>
      </c>
      <c r="W652" s="304">
        <f t="shared" ca="1" si="294"/>
        <v>26.492662079891538</v>
      </c>
      <c r="Y652" s="314" t="str">
        <f t="shared" ca="1" si="312"/>
        <v/>
      </c>
      <c r="Z652" s="315" t="str">
        <f t="shared" ca="1" si="313"/>
        <v/>
      </c>
      <c r="AA652" s="316" t="str">
        <f t="shared" ca="1" si="314"/>
        <v/>
      </c>
      <c r="AC652" s="310" t="e">
        <f t="shared" ca="1" si="315"/>
        <v>#N/A</v>
      </c>
      <c r="AD652" s="323" t="e">
        <f t="shared" ca="1" si="316"/>
        <v>#N/A</v>
      </c>
      <c r="AE652" s="324" t="e">
        <f t="shared" ca="1" si="295"/>
        <v>#N/A</v>
      </c>
      <c r="AG652" s="306">
        <f t="shared" ca="1" si="317"/>
        <v>6.2466630449349907</v>
      </c>
      <c r="AH652" s="304">
        <f t="shared" ca="1" si="318"/>
        <v>-3.4912503345162698</v>
      </c>
    </row>
    <row r="653" spans="1:34" x14ac:dyDescent="0.2">
      <c r="A653" s="347">
        <f t="shared" ca="1" si="296"/>
        <v>0.1</v>
      </c>
      <c r="B653" s="304">
        <f t="shared" ca="1" si="297"/>
        <v>28.900000000000098</v>
      </c>
      <c r="D653" s="306">
        <f t="shared" ca="1" si="298"/>
        <v>-0.42408471878046106</v>
      </c>
      <c r="E653" s="307">
        <f t="shared" ca="1" si="299"/>
        <v>-6.2946348615919963</v>
      </c>
      <c r="F653" s="304">
        <f t="shared" ca="1" si="300"/>
        <v>6.3089044920233492</v>
      </c>
      <c r="G653" s="306">
        <f t="shared" ca="1" si="301"/>
        <v>11.364109527071845</v>
      </c>
      <c r="H653" s="307">
        <f t="shared" ca="1" si="302"/>
        <v>-95.18150450155288</v>
      </c>
      <c r="I653" s="304">
        <f t="shared" ca="1" si="303"/>
        <v>95.857507710780894</v>
      </c>
      <c r="J653" s="306">
        <f t="shared" ca="1" si="304"/>
        <v>432.49186582290895</v>
      </c>
      <c r="K653" s="307">
        <f t="shared" ca="1" si="305"/>
        <v>1022.1248853101699</v>
      </c>
      <c r="L653" s="304">
        <f t="shared" ca="1" si="290"/>
        <v>1109.8596736404602</v>
      </c>
      <c r="M653" s="306">
        <f t="shared" ca="1" si="306"/>
        <v>-1.4519647480052336</v>
      </c>
      <c r="N653" s="304">
        <f t="shared" ca="1" si="307"/>
        <v>-83.191452062476003</v>
      </c>
      <c r="P653" s="310">
        <f t="shared" ca="1" si="308"/>
        <v>23</v>
      </c>
      <c r="Q653" s="304">
        <f t="shared" ca="1" si="309"/>
        <v>0</v>
      </c>
      <c r="R653" s="306">
        <f t="shared" ca="1" si="310"/>
        <v>0</v>
      </c>
      <c r="S653" s="307">
        <f t="shared" ca="1" si="311"/>
        <v>7.4819999999999904</v>
      </c>
      <c r="T653" s="304">
        <f t="shared" ca="1" si="291"/>
        <v>73.398419999999916</v>
      </c>
      <c r="U653" s="311">
        <f t="shared" ca="1" si="292"/>
        <v>0</v>
      </c>
      <c r="V653" s="306">
        <f t="shared" ca="1" si="293"/>
        <v>1.1058776000203572</v>
      </c>
      <c r="W653" s="304">
        <f t="shared" ca="1" si="294"/>
        <v>26.864219743609748</v>
      </c>
      <c r="Y653" s="314" t="str">
        <f t="shared" ca="1" si="312"/>
        <v/>
      </c>
      <c r="Z653" s="315" t="str">
        <f t="shared" ca="1" si="313"/>
        <v/>
      </c>
      <c r="AA653" s="316" t="str">
        <f t="shared" ca="1" si="314"/>
        <v/>
      </c>
      <c r="AC653" s="310" t="e">
        <f t="shared" ca="1" si="315"/>
        <v>#N/A</v>
      </c>
      <c r="AD653" s="323" t="e">
        <f t="shared" ca="1" si="316"/>
        <v>#N/A</v>
      </c>
      <c r="AE653" s="324" t="e">
        <f t="shared" ca="1" si="295"/>
        <v>#N/A</v>
      </c>
      <c r="AG653" s="306">
        <f t="shared" ca="1" si="317"/>
        <v>6.1985324320194142</v>
      </c>
      <c r="AH653" s="304">
        <f t="shared" ca="1" si="318"/>
        <v>-3.5408529911643374</v>
      </c>
    </row>
    <row r="654" spans="1:34" x14ac:dyDescent="0.2">
      <c r="A654" s="347">
        <f t="shared" ca="1" si="296"/>
        <v>0.1</v>
      </c>
      <c r="B654" s="304">
        <f t="shared" ca="1" si="297"/>
        <v>29.000000000000099</v>
      </c>
      <c r="D654" s="306">
        <f t="shared" ca="1" si="298"/>
        <v>-0.42566290538000795</v>
      </c>
      <c r="E654" s="307">
        <f t="shared" ca="1" si="299"/>
        <v>-6.244807703317627</v>
      </c>
      <c r="F654" s="304">
        <f t="shared" ca="1" si="300"/>
        <v>6.2592980565261254</v>
      </c>
      <c r="G654" s="306">
        <f t="shared" ca="1" si="301"/>
        <v>11.321543236533843</v>
      </c>
      <c r="H654" s="307">
        <f t="shared" ca="1" si="302"/>
        <v>-95.805985271884637</v>
      </c>
      <c r="I654" s="304">
        <f t="shared" ca="1" si="303"/>
        <v>96.472608315382885</v>
      </c>
      <c r="J654" s="306">
        <f t="shared" ca="1" si="304"/>
        <v>433.62614846108926</v>
      </c>
      <c r="K654" s="307">
        <f t="shared" ca="1" si="305"/>
        <v>1012.575510821498</v>
      </c>
      <c r="L654" s="304">
        <f t="shared" ca="1" si="290"/>
        <v>1101.5174995181042</v>
      </c>
      <c r="M654" s="306">
        <f t="shared" ca="1" si="306"/>
        <v>-1.4531702678655629</v>
      </c>
      <c r="N654" s="304">
        <f t="shared" ca="1" si="307"/>
        <v>-83.260523262592073</v>
      </c>
      <c r="P654" s="310">
        <f t="shared" ca="1" si="308"/>
        <v>23</v>
      </c>
      <c r="Q654" s="304">
        <f t="shared" ca="1" si="309"/>
        <v>0</v>
      </c>
      <c r="R654" s="306">
        <f t="shared" ca="1" si="310"/>
        <v>0</v>
      </c>
      <c r="S654" s="307">
        <f t="shared" ca="1" si="311"/>
        <v>7.4819999999999904</v>
      </c>
      <c r="T654" s="304">
        <f t="shared" ca="1" si="291"/>
        <v>73.398419999999916</v>
      </c>
      <c r="U654" s="311">
        <f t="shared" ca="1" si="292"/>
        <v>0</v>
      </c>
      <c r="V654" s="306">
        <f t="shared" ca="1" si="293"/>
        <v>1.1069368905903492</v>
      </c>
      <c r="W654" s="304">
        <f t="shared" ca="1" si="294"/>
        <v>27.236155568332229</v>
      </c>
      <c r="Y654" s="314" t="str">
        <f t="shared" ca="1" si="312"/>
        <v/>
      </c>
      <c r="Z654" s="315" t="str">
        <f t="shared" ca="1" si="313"/>
        <v/>
      </c>
      <c r="AA654" s="316" t="str">
        <f t="shared" ca="1" si="314"/>
        <v/>
      </c>
      <c r="AC654" s="310">
        <f t="shared" ca="1" si="315"/>
        <v>29.000000000000099</v>
      </c>
      <c r="AD654" s="323">
        <f t="shared" ca="1" si="316"/>
        <v>433.62614846108926</v>
      </c>
      <c r="AE654" s="324" t="e">
        <f t="shared" ca="1" si="295"/>
        <v>#N/A</v>
      </c>
      <c r="AG654" s="306">
        <f t="shared" ca="1" si="317"/>
        <v>6.15030503844409</v>
      </c>
      <c r="AH654" s="304">
        <f t="shared" ca="1" si="318"/>
        <v>-3.5905131974886104</v>
      </c>
    </row>
    <row r="655" spans="1:34" x14ac:dyDescent="0.2">
      <c r="A655" s="347">
        <f t="shared" ca="1" si="296"/>
        <v>0.1</v>
      </c>
      <c r="B655" s="304">
        <f t="shared" ca="1" si="297"/>
        <v>29.100000000000101</v>
      </c>
      <c r="D655" s="306">
        <f t="shared" ca="1" si="298"/>
        <v>-0.42719849210639754</v>
      </c>
      <c r="E655" s="307">
        <f t="shared" ca="1" si="299"/>
        <v>-6.1949298997645101</v>
      </c>
      <c r="F655" s="304">
        <f t="shared" ca="1" si="300"/>
        <v>6.209642100367323</v>
      </c>
      <c r="G655" s="306">
        <f t="shared" ca="1" si="301"/>
        <v>11.278823387323204</v>
      </c>
      <c r="H655" s="307">
        <f t="shared" ca="1" si="302"/>
        <v>-96.425478261861088</v>
      </c>
      <c r="I655" s="304">
        <f t="shared" ca="1" si="303"/>
        <v>97.082875498365169</v>
      </c>
      <c r="J655" s="306">
        <f t="shared" ca="1" si="304"/>
        <v>434.7561667922821</v>
      </c>
      <c r="K655" s="307">
        <f t="shared" ca="1" si="305"/>
        <v>1002.9639376448107</v>
      </c>
      <c r="L655" s="304">
        <f t="shared" ca="1" si="290"/>
        <v>1093.1374958256176</v>
      </c>
      <c r="M655" s="306">
        <f t="shared" ca="1" si="306"/>
        <v>-1.4543561133024276</v>
      </c>
      <c r="N655" s="304">
        <f t="shared" ca="1" si="307"/>
        <v>-83.328467201279267</v>
      </c>
      <c r="P655" s="310">
        <f t="shared" ca="1" si="308"/>
        <v>23</v>
      </c>
      <c r="Q655" s="304">
        <f t="shared" ca="1" si="309"/>
        <v>0</v>
      </c>
      <c r="R655" s="306">
        <f t="shared" ca="1" si="310"/>
        <v>0</v>
      </c>
      <c r="S655" s="307">
        <f t="shared" ca="1" si="311"/>
        <v>7.4819999999999904</v>
      </c>
      <c r="T655" s="304">
        <f t="shared" ca="1" si="291"/>
        <v>73.398419999999916</v>
      </c>
      <c r="U655" s="311">
        <f t="shared" ca="1" si="292"/>
        <v>0</v>
      </c>
      <c r="V655" s="306">
        <f t="shared" ca="1" si="293"/>
        <v>1.108004053402887</v>
      </c>
      <c r="W655" s="304">
        <f t="shared" ca="1" si="294"/>
        <v>27.608417585545805</v>
      </c>
      <c r="Y655" s="314" t="str">
        <f t="shared" ca="1" si="312"/>
        <v/>
      </c>
      <c r="Z655" s="315" t="str">
        <f t="shared" ca="1" si="313"/>
        <v/>
      </c>
      <c r="AA655" s="316" t="str">
        <f t="shared" ca="1" si="314"/>
        <v/>
      </c>
      <c r="AC655" s="310" t="e">
        <f t="shared" ca="1" si="315"/>
        <v>#N/A</v>
      </c>
      <c r="AD655" s="323" t="e">
        <f t="shared" ca="1" si="316"/>
        <v>#N/A</v>
      </c>
      <c r="AE655" s="324" t="e">
        <f t="shared" ca="1" si="295"/>
        <v>#N/A</v>
      </c>
      <c r="AG655" s="306">
        <f t="shared" ca="1" si="317"/>
        <v>6.1019892259341528</v>
      </c>
      <c r="AH655" s="304">
        <f t="shared" ca="1" si="318"/>
        <v>-3.640223946582767</v>
      </c>
    </row>
    <row r="656" spans="1:34" x14ac:dyDescent="0.2">
      <c r="A656" s="347">
        <f t="shared" ca="1" si="296"/>
        <v>0.1</v>
      </c>
      <c r="B656" s="304">
        <f t="shared" ca="1" si="297"/>
        <v>29.200000000000102</v>
      </c>
      <c r="D656" s="306">
        <f t="shared" ca="1" si="298"/>
        <v>-0.42869160242852461</v>
      </c>
      <c r="E656" s="307">
        <f t="shared" ca="1" si="299"/>
        <v>-6.1450084160840355</v>
      </c>
      <c r="F656" s="304">
        <f t="shared" ca="1" si="300"/>
        <v>6.1599435812137404</v>
      </c>
      <c r="G656" s="306">
        <f t="shared" ca="1" si="301"/>
        <v>11.235954227080351</v>
      </c>
      <c r="H656" s="307">
        <f t="shared" ca="1" si="302"/>
        <v>-97.039979103469491</v>
      </c>
      <c r="I656" s="304">
        <f t="shared" ca="1" si="303"/>
        <v>97.688301304684586</v>
      </c>
      <c r="J656" s="306">
        <f t="shared" ca="1" si="304"/>
        <v>435.88190567300228</v>
      </c>
      <c r="K656" s="307">
        <f t="shared" ca="1" si="305"/>
        <v>993.29066477654419</v>
      </c>
      <c r="L656" s="304">
        <f t="shared" ca="1" si="290"/>
        <v>1084.7208767352813</v>
      </c>
      <c r="M656" s="306">
        <f t="shared" ca="1" si="306"/>
        <v>-1.4555227824498953</v>
      </c>
      <c r="N656" s="304">
        <f t="shared" ca="1" si="307"/>
        <v>-83.395312419517296</v>
      </c>
      <c r="P656" s="310">
        <f t="shared" ca="1" si="308"/>
        <v>23</v>
      </c>
      <c r="Q656" s="304">
        <f t="shared" ca="1" si="309"/>
        <v>0</v>
      </c>
      <c r="R656" s="306">
        <f t="shared" ca="1" si="310"/>
        <v>0</v>
      </c>
      <c r="S656" s="307">
        <f t="shared" ca="1" si="311"/>
        <v>7.4819999999999904</v>
      </c>
      <c r="T656" s="304">
        <f t="shared" ca="1" si="291"/>
        <v>73.398419999999916</v>
      </c>
      <c r="U656" s="311">
        <f t="shared" ca="1" si="292"/>
        <v>0</v>
      </c>
      <c r="V656" s="306">
        <f t="shared" ca="1" si="293"/>
        <v>1.1090790532764989</v>
      </c>
      <c r="W656" s="304">
        <f t="shared" ca="1" si="294"/>
        <v>27.980954294314383</v>
      </c>
      <c r="Y656" s="314" t="str">
        <f t="shared" ca="1" si="312"/>
        <v/>
      </c>
      <c r="Z656" s="315" t="str">
        <f t="shared" ca="1" si="313"/>
        <v/>
      </c>
      <c r="AA656" s="316" t="str">
        <f t="shared" ca="1" si="314"/>
        <v/>
      </c>
      <c r="AC656" s="310" t="e">
        <f t="shared" ca="1" si="315"/>
        <v>#N/A</v>
      </c>
      <c r="AD656" s="323" t="e">
        <f t="shared" ca="1" si="316"/>
        <v>#N/A</v>
      </c>
      <c r="AE656" s="324" t="e">
        <f t="shared" ca="1" si="295"/>
        <v>#N/A</v>
      </c>
      <c r="AG656" s="306">
        <f t="shared" ca="1" si="317"/>
        <v>6.0535932372804657</v>
      </c>
      <c r="AH656" s="304">
        <f t="shared" ca="1" si="318"/>
        <v>-3.6899782926417855</v>
      </c>
    </row>
    <row r="657" spans="1:34" x14ac:dyDescent="0.2">
      <c r="A657" s="347">
        <f t="shared" ca="1" si="296"/>
        <v>0.1</v>
      </c>
      <c r="B657" s="304">
        <f t="shared" ca="1" si="297"/>
        <v>29.300000000000104</v>
      </c>
      <c r="D657" s="306">
        <f t="shared" ca="1" si="298"/>
        <v>-0.43014236814122114</v>
      </c>
      <c r="E657" s="307">
        <f t="shared" ca="1" si="299"/>
        <v>-6.0950501548556666</v>
      </c>
      <c r="F657" s="304">
        <f t="shared" ca="1" si="300"/>
        <v>6.1102093946996794</v>
      </c>
      <c r="G657" s="306">
        <f t="shared" ca="1" si="301"/>
        <v>11.192939990266229</v>
      </c>
      <c r="H657" s="307">
        <f t="shared" ca="1" si="302"/>
        <v>-97.649484118955058</v>
      </c>
      <c r="I657" s="304">
        <f t="shared" ca="1" si="303"/>
        <v>98.288878589206405</v>
      </c>
      <c r="J657" s="306">
        <f t="shared" ca="1" si="304"/>
        <v>437.00335038386959</v>
      </c>
      <c r="K657" s="307">
        <f t="shared" ca="1" si="305"/>
        <v>983.55619161542302</v>
      </c>
      <c r="L657" s="304">
        <f t="shared" ca="1" si="290"/>
        <v>1076.268883835151</v>
      </c>
      <c r="M657" s="306">
        <f t="shared" ca="1" si="306"/>
        <v>-1.4566707566461046</v>
      </c>
      <c r="N657" s="304">
        <f t="shared" ca="1" si="307"/>
        <v>-83.461086495949999</v>
      </c>
      <c r="P657" s="310">
        <f t="shared" ca="1" si="308"/>
        <v>23</v>
      </c>
      <c r="Q657" s="304">
        <f t="shared" ca="1" si="309"/>
        <v>0</v>
      </c>
      <c r="R657" s="306">
        <f t="shared" ca="1" si="310"/>
        <v>0</v>
      </c>
      <c r="S657" s="307">
        <f t="shared" ca="1" si="311"/>
        <v>7.4819999999999904</v>
      </c>
      <c r="T657" s="304">
        <f t="shared" ca="1" si="291"/>
        <v>73.398419999999916</v>
      </c>
      <c r="U657" s="311">
        <f t="shared" ca="1" si="292"/>
        <v>0</v>
      </c>
      <c r="V657" s="306">
        <f t="shared" ca="1" si="293"/>
        <v>1.1101618549566612</v>
      </c>
      <c r="W657" s="304">
        <f t="shared" ca="1" si="294"/>
        <v>28.353714671367428</v>
      </c>
      <c r="Y657" s="314" t="str">
        <f t="shared" ca="1" si="312"/>
        <v/>
      </c>
      <c r="Z657" s="315" t="str">
        <f t="shared" ca="1" si="313"/>
        <v/>
      </c>
      <c r="AA657" s="316" t="str">
        <f t="shared" ca="1" si="314"/>
        <v/>
      </c>
      <c r="AC657" s="310" t="e">
        <f t="shared" ca="1" si="315"/>
        <v>#N/A</v>
      </c>
      <c r="AD657" s="323" t="e">
        <f t="shared" ca="1" si="316"/>
        <v>#N/A</v>
      </c>
      <c r="AE657" s="324" t="e">
        <f t="shared" ca="1" si="295"/>
        <v>#N/A</v>
      </c>
      <c r="AG657" s="306">
        <f t="shared" ca="1" si="317"/>
        <v>6.005125197873598</v>
      </c>
      <c r="AH657" s="304">
        <f t="shared" ca="1" si="318"/>
        <v>-3.7397693523542395</v>
      </c>
    </row>
    <row r="658" spans="1:34" x14ac:dyDescent="0.2">
      <c r="A658" s="347">
        <f t="shared" ca="1" si="296"/>
        <v>0.1</v>
      </c>
      <c r="B658" s="304">
        <f t="shared" ca="1" si="297"/>
        <v>29.400000000000105</v>
      </c>
      <c r="D658" s="306">
        <f t="shared" ca="1" si="298"/>
        <v>-0.43155092920366539</v>
      </c>
      <c r="E658" s="307">
        <f t="shared" ca="1" si="299"/>
        <v>-6.0450619547285447</v>
      </c>
      <c r="F658" s="304">
        <f t="shared" ca="1" si="300"/>
        <v>6.0604463730820219</v>
      </c>
      <c r="G658" s="306">
        <f t="shared" ca="1" si="301"/>
        <v>11.149784897345862</v>
      </c>
      <c r="H658" s="307">
        <f t="shared" ca="1" si="302"/>
        <v>-98.253990314427909</v>
      </c>
      <c r="I658" s="304">
        <f t="shared" ca="1" si="303"/>
        <v>98.884601005236277</v>
      </c>
      <c r="J658" s="306">
        <f t="shared" ca="1" si="304"/>
        <v>438.12048662825021</v>
      </c>
      <c r="K658" s="307">
        <f t="shared" ca="1" si="305"/>
        <v>973.76101789375389</v>
      </c>
      <c r="L658" s="304">
        <f t="shared" ca="1" si="290"/>
        <v>1067.7827872619291</v>
      </c>
      <c r="M658" s="306">
        <f t="shared" ca="1" si="306"/>
        <v>-1.4578005011299664</v>
      </c>
      <c r="N658" s="304">
        <f t="shared" ca="1" si="307"/>
        <v>-83.525816086803474</v>
      </c>
      <c r="P658" s="310">
        <f t="shared" ca="1" si="308"/>
        <v>23</v>
      </c>
      <c r="Q658" s="304">
        <f t="shared" ca="1" si="309"/>
        <v>0</v>
      </c>
      <c r="R658" s="306">
        <f t="shared" ca="1" si="310"/>
        <v>0</v>
      </c>
      <c r="S658" s="307">
        <f t="shared" ca="1" si="311"/>
        <v>7.4819999999999904</v>
      </c>
      <c r="T658" s="304">
        <f t="shared" ca="1" si="291"/>
        <v>73.398419999999916</v>
      </c>
      <c r="U658" s="311">
        <f t="shared" ca="1" si="292"/>
        <v>0</v>
      </c>
      <c r="V658" s="306">
        <f t="shared" ca="1" si="293"/>
        <v>1.1112524231202823</v>
      </c>
      <c r="W658" s="304">
        <f t="shared" ca="1" si="294"/>
        <v>28.726648180859449</v>
      </c>
      <c r="Y658" s="314" t="str">
        <f t="shared" ca="1" si="312"/>
        <v/>
      </c>
      <c r="Z658" s="315" t="str">
        <f t="shared" ca="1" si="313"/>
        <v/>
      </c>
      <c r="AA658" s="316" t="str">
        <f t="shared" ca="1" si="314"/>
        <v/>
      </c>
      <c r="AC658" s="310" t="e">
        <f t="shared" ca="1" si="315"/>
        <v>#N/A</v>
      </c>
      <c r="AD658" s="323" t="e">
        <f t="shared" ca="1" si="316"/>
        <v>#N/A</v>
      </c>
      <c r="AE658" s="324" t="e">
        <f t="shared" ca="1" si="295"/>
        <v>#N/A</v>
      </c>
      <c r="AG658" s="306">
        <f t="shared" ca="1" si="317"/>
        <v>5.9565931171111908</v>
      </c>
      <c r="AH658" s="304">
        <f t="shared" ca="1" si="318"/>
        <v>-3.7895903062506635</v>
      </c>
    </row>
    <row r="659" spans="1:34" x14ac:dyDescent="0.2">
      <c r="A659" s="347">
        <f t="shared" ca="1" si="296"/>
        <v>0.1</v>
      </c>
      <c r="B659" s="304">
        <f t="shared" ca="1" si="297"/>
        <v>29.500000000000107</v>
      </c>
      <c r="D659" s="306">
        <f t="shared" ca="1" si="298"/>
        <v>-0.43291743357787288</v>
      </c>
      <c r="E659" s="307">
        <f t="shared" ca="1" si="299"/>
        <v>-5.995050589107537</v>
      </c>
      <c r="F659" s="304">
        <f t="shared" ca="1" si="300"/>
        <v>6.0106612839399194</v>
      </c>
      <c r="G659" s="306">
        <f t="shared" ca="1" si="301"/>
        <v>11.106493153988074</v>
      </c>
      <c r="H659" s="307">
        <f t="shared" ca="1" si="302"/>
        <v>-98.85349537333866</v>
      </c>
      <c r="I659" s="304">
        <f t="shared" ca="1" si="303"/>
        <v>99.475462993173707</v>
      </c>
      <c r="J659" s="306">
        <f t="shared" ca="1" si="304"/>
        <v>439.2333005308169</v>
      </c>
      <c r="K659" s="307">
        <f t="shared" ca="1" si="305"/>
        <v>963.9056436093656</v>
      </c>
      <c r="L659" s="304">
        <f t="shared" ca="1" si="290"/>
        <v>1059.2638868937147</v>
      </c>
      <c r="M659" s="306">
        <f t="shared" ca="1" si="306"/>
        <v>-1.4589124657036772</v>
      </c>
      <c r="N659" s="304">
        <f t="shared" ca="1" si="307"/>
        <v>-83.589526963845159</v>
      </c>
      <c r="P659" s="310">
        <f t="shared" ca="1" si="308"/>
        <v>23</v>
      </c>
      <c r="Q659" s="304">
        <f t="shared" ca="1" si="309"/>
        <v>0</v>
      </c>
      <c r="R659" s="306">
        <f t="shared" ca="1" si="310"/>
        <v>0</v>
      </c>
      <c r="S659" s="307">
        <f t="shared" ca="1" si="311"/>
        <v>7.4819999999999904</v>
      </c>
      <c r="T659" s="304">
        <f t="shared" ca="1" si="291"/>
        <v>73.398419999999916</v>
      </c>
      <c r="U659" s="311">
        <f t="shared" ca="1" si="292"/>
        <v>0</v>
      </c>
      <c r="V659" s="306">
        <f t="shared" ca="1" si="293"/>
        <v>1.1123507223801665</v>
      </c>
      <c r="W659" s="304">
        <f t="shared" ca="1" si="294"/>
        <v>29.099704783800174</v>
      </c>
      <c r="Y659" s="314" t="str">
        <f t="shared" ca="1" si="312"/>
        <v/>
      </c>
      <c r="Z659" s="315" t="str">
        <f t="shared" ca="1" si="313"/>
        <v/>
      </c>
      <c r="AA659" s="316" t="str">
        <f t="shared" ca="1" si="314"/>
        <v/>
      </c>
      <c r="AC659" s="310" t="e">
        <f t="shared" ca="1" si="315"/>
        <v>#N/A</v>
      </c>
      <c r="AD659" s="323" t="e">
        <f t="shared" ca="1" si="316"/>
        <v>#N/A</v>
      </c>
      <c r="AE659" s="324" t="e">
        <f t="shared" ca="1" si="295"/>
        <v>#N/A</v>
      </c>
      <c r="AG659" s="306">
        <f t="shared" ca="1" si="317"/>
        <v>5.9080048896899218</v>
      </c>
      <c r="AH659" s="304">
        <f t="shared" ca="1" si="318"/>
        <v>-3.8394344000079506</v>
      </c>
    </row>
    <row r="660" spans="1:34" x14ac:dyDescent="0.2">
      <c r="A660" s="347">
        <f t="shared" ca="1" si="296"/>
        <v>0.1</v>
      </c>
      <c r="B660" s="304">
        <f t="shared" ca="1" si="297"/>
        <v>29.600000000000108</v>
      </c>
      <c r="D660" s="306">
        <f t="shared" ca="1" si="298"/>
        <v>-0.43424203706726977</v>
      </c>
      <c r="E660" s="307">
        <f t="shared" ca="1" si="299"/>
        <v>-5.9450227648837402</v>
      </c>
      <c r="F660" s="304">
        <f t="shared" ca="1" si="300"/>
        <v>5.9608608289191114</v>
      </c>
      <c r="G660" s="306">
        <f t="shared" ca="1" si="301"/>
        <v>11.063068950281346</v>
      </c>
      <c r="H660" s="307">
        <f t="shared" ca="1" si="302"/>
        <v>-99.44799764982703</v>
      </c>
      <c r="I660" s="304">
        <f t="shared" ca="1" si="303"/>
        <v>100.06145976927721</v>
      </c>
      <c r="J660" s="306">
        <f t="shared" ca="1" si="304"/>
        <v>440.34177863603037</v>
      </c>
      <c r="K660" s="307">
        <f t="shared" ca="1" si="305"/>
        <v>953.99056895820729</v>
      </c>
      <c r="L660" s="304">
        <f t="shared" ca="1" si="290"/>
        <v>1050.7135136056577</v>
      </c>
      <c r="M660" s="306">
        <f t="shared" ca="1" si="306"/>
        <v>-1.460007085362971</v>
      </c>
      <c r="N660" s="304">
        <f t="shared" ca="1" si="307"/>
        <v>-83.652244050494744</v>
      </c>
      <c r="P660" s="310">
        <f t="shared" ca="1" si="308"/>
        <v>23</v>
      </c>
      <c r="Q660" s="304">
        <f t="shared" ca="1" si="309"/>
        <v>0</v>
      </c>
      <c r="R660" s="306">
        <f t="shared" ca="1" si="310"/>
        <v>0</v>
      </c>
      <c r="S660" s="307">
        <f t="shared" ca="1" si="311"/>
        <v>7.4819999999999904</v>
      </c>
      <c r="T660" s="304">
        <f t="shared" ca="1" si="291"/>
        <v>73.398419999999916</v>
      </c>
      <c r="U660" s="311">
        <f t="shared" ca="1" si="292"/>
        <v>0</v>
      </c>
      <c r="V660" s="306">
        <f t="shared" ca="1" si="293"/>
        <v>1.113456717289445</v>
      </c>
      <c r="W660" s="304">
        <f t="shared" ca="1" si="294"/>
        <v>29.472834947154986</v>
      </c>
      <c r="Y660" s="314" t="str">
        <f t="shared" ca="1" si="312"/>
        <v/>
      </c>
      <c r="Z660" s="315" t="str">
        <f t="shared" ca="1" si="313"/>
        <v/>
      </c>
      <c r="AA660" s="316" t="str">
        <f t="shared" ca="1" si="314"/>
        <v/>
      </c>
      <c r="AC660" s="310" t="e">
        <f t="shared" ca="1" si="315"/>
        <v>#N/A</v>
      </c>
      <c r="AD660" s="323" t="e">
        <f t="shared" ca="1" si="316"/>
        <v>#N/A</v>
      </c>
      <c r="AE660" s="324" t="e">
        <f t="shared" ca="1" si="295"/>
        <v>#N/A</v>
      </c>
      <c r="AG660" s="306">
        <f t="shared" ca="1" si="317"/>
        <v>5.8593682967925895</v>
      </c>
      <c r="AH660" s="304">
        <f t="shared" ca="1" si="318"/>
        <v>-3.8892949457097314</v>
      </c>
    </row>
    <row r="661" spans="1:34" x14ac:dyDescent="0.2">
      <c r="A661" s="347">
        <f t="shared" ca="1" si="296"/>
        <v>0.1</v>
      </c>
      <c r="B661" s="304">
        <f t="shared" ca="1" si="297"/>
        <v>29.700000000000109</v>
      </c>
      <c r="D661" s="306">
        <f t="shared" ca="1" si="298"/>
        <v>-0.4355249031553739</v>
      </c>
      <c r="E661" s="307">
        <f t="shared" ca="1" si="299"/>
        <v>-5.8949851212094915</v>
      </c>
      <c r="F661" s="304">
        <f t="shared" ca="1" si="300"/>
        <v>5.9110516425209632</v>
      </c>
      <c r="G661" s="306">
        <f t="shared" ca="1" si="301"/>
        <v>11.019516459965809</v>
      </c>
      <c r="H661" s="307">
        <f t="shared" ca="1" si="302"/>
        <v>-100.03749616194798</v>
      </c>
      <c r="I661" s="304">
        <f t="shared" ca="1" si="303"/>
        <v>100.64258731453208</v>
      </c>
      <c r="J661" s="306">
        <f t="shared" ca="1" si="304"/>
        <v>441.44590790654274</v>
      </c>
      <c r="K661" s="307">
        <f t="shared" ca="1" si="305"/>
        <v>944.01629426761849</v>
      </c>
      <c r="L661" s="304">
        <f t="shared" ca="1" si="290"/>
        <v>1042.1330305916795</v>
      </c>
      <c r="M661" s="306">
        <f t="shared" ca="1" si="306"/>
        <v>-1.461084780896923</v>
      </c>
      <c r="N661" s="304">
        <f t="shared" ca="1" si="307"/>
        <v>-83.713991456190286</v>
      </c>
      <c r="P661" s="310">
        <f t="shared" ca="1" si="308"/>
        <v>23</v>
      </c>
      <c r="Q661" s="304">
        <f t="shared" ca="1" si="309"/>
        <v>0</v>
      </c>
      <c r="R661" s="306">
        <f t="shared" ca="1" si="310"/>
        <v>0</v>
      </c>
      <c r="S661" s="307">
        <f t="shared" ca="1" si="311"/>
        <v>7.4819999999999904</v>
      </c>
      <c r="T661" s="304">
        <f t="shared" ca="1" si="291"/>
        <v>73.398419999999916</v>
      </c>
      <c r="U661" s="311">
        <f t="shared" ca="1" si="292"/>
        <v>0</v>
      </c>
      <c r="V661" s="306">
        <f t="shared" ca="1" si="293"/>
        <v>1.1145703723459819</v>
      </c>
      <c r="W661" s="304">
        <f t="shared" ca="1" si="294"/>
        <v>29.845989652616044</v>
      </c>
      <c r="Y661" s="314" t="str">
        <f t="shared" ca="1" si="312"/>
        <v/>
      </c>
      <c r="Z661" s="315" t="str">
        <f t="shared" ca="1" si="313"/>
        <v/>
      </c>
      <c r="AA661" s="316" t="str">
        <f t="shared" ca="1" si="314"/>
        <v/>
      </c>
      <c r="AC661" s="310" t="e">
        <f t="shared" ca="1" si="315"/>
        <v>#N/A</v>
      </c>
      <c r="AD661" s="323" t="e">
        <f t="shared" ca="1" si="316"/>
        <v>#N/A</v>
      </c>
      <c r="AE661" s="324" t="e">
        <f t="shared" ca="1" si="295"/>
        <v>#N/A</v>
      </c>
      <c r="AG661" s="306">
        <f t="shared" ca="1" si="317"/>
        <v>5.8106910071799192</v>
      </c>
      <c r="AH661" s="304">
        <f t="shared" ca="1" si="318"/>
        <v>-3.9391653230626869</v>
      </c>
    </row>
    <row r="662" spans="1:34" x14ac:dyDescent="0.2">
      <c r="A662" s="347">
        <f t="shared" ca="1" si="296"/>
        <v>0.1</v>
      </c>
      <c r="B662" s="304">
        <f t="shared" ca="1" si="297"/>
        <v>29.800000000000111</v>
      </c>
      <c r="D662" s="306">
        <f t="shared" ca="1" si="298"/>
        <v>-0.43676620284459328</v>
      </c>
      <c r="E662" s="307">
        <f t="shared" ca="1" si="299"/>
        <v>-5.8449442283177877</v>
      </c>
      <c r="F662" s="304">
        <f t="shared" ca="1" si="300"/>
        <v>5.8612402909361005</v>
      </c>
      <c r="G662" s="306">
        <f t="shared" ca="1" si="301"/>
        <v>10.975839839681349</v>
      </c>
      <c r="H662" s="307">
        <f t="shared" ca="1" si="302"/>
        <v>-100.62199058477977</v>
      </c>
      <c r="I662" s="304">
        <f t="shared" ca="1" si="303"/>
        <v>101.21884236361254</v>
      </c>
      <c r="J662" s="306">
        <f t="shared" ca="1" si="304"/>
        <v>442.54567572152513</v>
      </c>
      <c r="K662" s="307">
        <f t="shared" ca="1" si="305"/>
        <v>933.98331993028205</v>
      </c>
      <c r="L662" s="304">
        <f t="shared" ca="1" si="290"/>
        <v>1033.5238347555478</v>
      </c>
      <c r="M662" s="306">
        <f t="shared" ca="1" si="306"/>
        <v>-1.4621459594589952</v>
      </c>
      <c r="N662" s="304">
        <f t="shared" ca="1" si="307"/>
        <v>-83.774792509106788</v>
      </c>
      <c r="P662" s="310">
        <f t="shared" ca="1" si="308"/>
        <v>23</v>
      </c>
      <c r="Q662" s="304">
        <f t="shared" ca="1" si="309"/>
        <v>0</v>
      </c>
      <c r="R662" s="306">
        <f t="shared" ca="1" si="310"/>
        <v>0</v>
      </c>
      <c r="S662" s="307">
        <f t="shared" ca="1" si="311"/>
        <v>7.4819999999999904</v>
      </c>
      <c r="T662" s="304">
        <f t="shared" ca="1" si="291"/>
        <v>73.398419999999916</v>
      </c>
      <c r="U662" s="311">
        <f t="shared" ca="1" si="292"/>
        <v>0</v>
      </c>
      <c r="V662" s="306">
        <f t="shared" ca="1" si="293"/>
        <v>1.1156916519967492</v>
      </c>
      <c r="W662" s="304">
        <f t="shared" ca="1" si="294"/>
        <v>30.219120405044166</v>
      </c>
      <c r="Y662" s="314" t="str">
        <f t="shared" ca="1" si="312"/>
        <v/>
      </c>
      <c r="Z662" s="315" t="str">
        <f t="shared" ca="1" si="313"/>
        <v/>
      </c>
      <c r="AA662" s="316" t="str">
        <f t="shared" ca="1" si="314"/>
        <v/>
      </c>
      <c r="AC662" s="310" t="e">
        <f t="shared" ca="1" si="315"/>
        <v>#N/A</v>
      </c>
      <c r="AD662" s="323" t="e">
        <f t="shared" ca="1" si="316"/>
        <v>#N/A</v>
      </c>
      <c r="AE662" s="324" t="e">
        <f t="shared" ca="1" si="295"/>
        <v>#N/A</v>
      </c>
      <c r="AG662" s="306">
        <f t="shared" ca="1" si="317"/>
        <v>5.7619805781960896</v>
      </c>
      <c r="AH662" s="304">
        <f t="shared" ca="1" si="318"/>
        <v>-3.9890389805688429</v>
      </c>
    </row>
    <row r="663" spans="1:34" x14ac:dyDescent="0.2">
      <c r="A663" s="347">
        <f t="shared" ca="1" si="296"/>
        <v>0.1</v>
      </c>
      <c r="B663" s="304">
        <f t="shared" ca="1" si="297"/>
        <v>29.900000000000112</v>
      </c>
      <c r="D663" s="306">
        <f t="shared" ca="1" si="298"/>
        <v>-0.4379661144951692</v>
      </c>
      <c r="E663" s="307">
        <f t="shared" ca="1" si="299"/>
        <v>-5.7949065863861113</v>
      </c>
      <c r="F663" s="304">
        <f t="shared" ca="1" si="300"/>
        <v>5.8114332709226844</v>
      </c>
      <c r="G663" s="306">
        <f t="shared" ca="1" si="301"/>
        <v>10.932043228231832</v>
      </c>
      <c r="H663" s="307">
        <f t="shared" ca="1" si="302"/>
        <v>-101.20148124341837</v>
      </c>
      <c r="I663" s="304">
        <f t="shared" ca="1" si="303"/>
        <v>101.79022239393079</v>
      </c>
      <c r="J663" s="306">
        <f t="shared" ca="1" si="304"/>
        <v>443.64106987492079</v>
      </c>
      <c r="K663" s="307">
        <f t="shared" ca="1" si="305"/>
        <v>923.89214633887218</v>
      </c>
      <c r="L663" s="304">
        <f t="shared" ca="1" si="290"/>
        <v>1024.8873581747471</v>
      </c>
      <c r="M663" s="306">
        <f t="shared" ca="1" si="306"/>
        <v>-1.463191015110912</v>
      </c>
      <c r="N663" s="304">
        <f t="shared" ca="1" si="307"/>
        <v>-83.834669787317921</v>
      </c>
      <c r="P663" s="310">
        <f t="shared" ca="1" si="308"/>
        <v>23</v>
      </c>
      <c r="Q663" s="304">
        <f t="shared" ca="1" si="309"/>
        <v>0</v>
      </c>
      <c r="R663" s="306">
        <f t="shared" ca="1" si="310"/>
        <v>0</v>
      </c>
      <c r="S663" s="307">
        <f t="shared" ca="1" si="311"/>
        <v>7.4819999999999904</v>
      </c>
      <c r="T663" s="304">
        <f t="shared" ca="1" si="291"/>
        <v>73.398419999999916</v>
      </c>
      <c r="U663" s="311">
        <f t="shared" ca="1" si="292"/>
        <v>0</v>
      </c>
      <c r="V663" s="306">
        <f t="shared" ca="1" si="293"/>
        <v>1.1168205206421744</v>
      </c>
      <c r="W663" s="304">
        <f t="shared" ca="1" si="294"/>
        <v>30.592179240582126</v>
      </c>
      <c r="Y663" s="314" t="str">
        <f t="shared" ca="1" si="312"/>
        <v/>
      </c>
      <c r="Z663" s="315" t="str">
        <f t="shared" ca="1" si="313"/>
        <v/>
      </c>
      <c r="AA663" s="316" t="str">
        <f t="shared" ca="1" si="314"/>
        <v/>
      </c>
      <c r="AC663" s="310" t="e">
        <f t="shared" ca="1" si="315"/>
        <v>#N/A</v>
      </c>
      <c r="AD663" s="323" t="e">
        <f t="shared" ca="1" si="316"/>
        <v>#N/A</v>
      </c>
      <c r="AE663" s="324" t="e">
        <f t="shared" ca="1" si="295"/>
        <v>#N/A</v>
      </c>
      <c r="AG663" s="306">
        <f t="shared" ca="1" si="317"/>
        <v>5.7132444566961933</v>
      </c>
      <c r="AH663" s="304">
        <f t="shared" ca="1" si="318"/>
        <v>-4.0389094366538636</v>
      </c>
    </row>
    <row r="664" spans="1:34" x14ac:dyDescent="0.2">
      <c r="A664" s="347">
        <f t="shared" ca="1" si="296"/>
        <v>0.1</v>
      </c>
      <c r="B664" s="304">
        <f t="shared" ca="1" si="297"/>
        <v>30.000000000000114</v>
      </c>
      <c r="D664" s="306">
        <f t="shared" ca="1" si="298"/>
        <v>-0.43912482366429417</v>
      </c>
      <c r="E664" s="307">
        <f t="shared" ca="1" si="299"/>
        <v>-5.7448786244445431</v>
      </c>
      <c r="F664" s="304">
        <f t="shared" ca="1" si="300"/>
        <v>5.7616370087292061</v>
      </c>
      <c r="G664" s="306">
        <f t="shared" ca="1" si="301"/>
        <v>10.888130745865402</v>
      </c>
      <c r="H664" s="307">
        <f t="shared" ca="1" si="302"/>
        <v>-101.77596910586283</v>
      </c>
      <c r="I664" s="304">
        <f t="shared" ca="1" si="303"/>
        <v>102.35672561476653</v>
      </c>
      <c r="J664" s="306">
        <f t="shared" ca="1" si="304"/>
        <v>444.73207857362564</v>
      </c>
      <c r="K664" s="307">
        <f t="shared" ca="1" si="305"/>
        <v>913.74327382140814</v>
      </c>
      <c r="L664" s="304">
        <f t="shared" ca="1" si="290"/>
        <v>1016.2250696407182</v>
      </c>
      <c r="M664" s="306">
        <f t="shared" ca="1" si="306"/>
        <v>-1.4642203293408558</v>
      </c>
      <c r="N664" s="304">
        <f t="shared" ca="1" si="307"/>
        <v>-83.893645148486456</v>
      </c>
      <c r="P664" s="310">
        <f t="shared" ca="1" si="308"/>
        <v>23</v>
      </c>
      <c r="Q664" s="304">
        <f t="shared" ca="1" si="309"/>
        <v>0</v>
      </c>
      <c r="R664" s="306">
        <f t="shared" ca="1" si="310"/>
        <v>0</v>
      </c>
      <c r="S664" s="307">
        <f t="shared" ca="1" si="311"/>
        <v>7.4819999999999904</v>
      </c>
      <c r="T664" s="304">
        <f t="shared" ca="1" si="291"/>
        <v>73.398419999999916</v>
      </c>
      <c r="U664" s="311">
        <f t="shared" ca="1" si="292"/>
        <v>0</v>
      </c>
      <c r="V664" s="306">
        <f t="shared" ca="1" si="293"/>
        <v>1.1179569426404556</v>
      </c>
      <c r="W664" s="304">
        <f t="shared" ca="1" si="294"/>
        <v>30.965118734440122</v>
      </c>
      <c r="Y664" s="314" t="str">
        <f t="shared" ca="1" si="312"/>
        <v/>
      </c>
      <c r="Z664" s="315" t="str">
        <f t="shared" ca="1" si="313"/>
        <v/>
      </c>
      <c r="AA664" s="316" t="str">
        <f t="shared" ca="1" si="314"/>
        <v/>
      </c>
      <c r="AC664" s="310">
        <f t="shared" ca="1" si="315"/>
        <v>30.000000000000114</v>
      </c>
      <c r="AD664" s="323">
        <f t="shared" ca="1" si="316"/>
        <v>444.73207857362564</v>
      </c>
      <c r="AE664" s="324" t="e">
        <f t="shared" ca="1" si="295"/>
        <v>#N/A</v>
      </c>
      <c r="AG664" s="306">
        <f t="shared" ca="1" si="317"/>
        <v>5.6644899799033226</v>
      </c>
      <c r="AH664" s="304">
        <f t="shared" ca="1" si="318"/>
        <v>-4.0887702807514259</v>
      </c>
    </row>
    <row r="665" spans="1:34" x14ac:dyDescent="0.2">
      <c r="A665" s="347">
        <f t="shared" ca="1" si="296"/>
        <v>0.1</v>
      </c>
      <c r="B665" s="304">
        <f t="shared" ca="1" si="297"/>
        <v>30.100000000000115</v>
      </c>
      <c r="D665" s="306">
        <f t="shared" ca="1" si="298"/>
        <v>-0.44024252294542704</v>
      </c>
      <c r="E665" s="307">
        <f t="shared" ca="1" si="299"/>
        <v>-5.6948666993280472</v>
      </c>
      <c r="F665" s="304">
        <f t="shared" ca="1" si="300"/>
        <v>5.7118578590616975</v>
      </c>
      <c r="G665" s="306">
        <f t="shared" ca="1" si="301"/>
        <v>10.844106493570859</v>
      </c>
      <c r="H665" s="307">
        <f t="shared" ca="1" si="302"/>
        <v>-102.34545577579563</v>
      </c>
      <c r="I665" s="304">
        <f t="shared" ca="1" si="303"/>
        <v>102.91835095647056</v>
      </c>
      <c r="J665" s="306">
        <f t="shared" ca="1" si="304"/>
        <v>445.81869043559743</v>
      </c>
      <c r="K665" s="307">
        <f t="shared" ca="1" si="305"/>
        <v>903.53720257732516</v>
      </c>
      <c r="L665" s="304">
        <f t="shared" ca="1" si="290"/>
        <v>1007.5384762791789</v>
      </c>
      <c r="M665" s="306">
        <f t="shared" ca="1" si="306"/>
        <v>-1.4652342715573785</v>
      </c>
      <c r="N665" s="304">
        <f t="shared" ca="1" si="307"/>
        <v>-83.951739758163342</v>
      </c>
      <c r="P665" s="310">
        <f t="shared" ca="1" si="308"/>
        <v>23</v>
      </c>
      <c r="Q665" s="304">
        <f t="shared" ca="1" si="309"/>
        <v>0</v>
      </c>
      <c r="R665" s="306">
        <f t="shared" ca="1" si="310"/>
        <v>0</v>
      </c>
      <c r="S665" s="307">
        <f t="shared" ca="1" si="311"/>
        <v>7.4819999999999904</v>
      </c>
      <c r="T665" s="304">
        <f t="shared" ca="1" si="291"/>
        <v>73.398419999999916</v>
      </c>
      <c r="U665" s="311">
        <f t="shared" ca="1" si="292"/>
        <v>0</v>
      </c>
      <c r="V665" s="306">
        <f t="shared" ca="1" si="293"/>
        <v>1.119100882311846</v>
      </c>
      <c r="W665" s="304">
        <f t="shared" ca="1" si="294"/>
        <v>31.337892008354153</v>
      </c>
      <c r="Y665" s="314" t="str">
        <f t="shared" ca="1" si="312"/>
        <v/>
      </c>
      <c r="Z665" s="315" t="str">
        <f t="shared" ca="1" si="313"/>
        <v/>
      </c>
      <c r="AA665" s="316" t="str">
        <f t="shared" ca="1" si="314"/>
        <v/>
      </c>
      <c r="AC665" s="310" t="e">
        <f t="shared" ca="1" si="315"/>
        <v>#N/A</v>
      </c>
      <c r="AD665" s="323" t="e">
        <f t="shared" ca="1" si="316"/>
        <v>#N/A</v>
      </c>
      <c r="AE665" s="324" t="e">
        <f t="shared" ca="1" si="295"/>
        <v>#N/A</v>
      </c>
      <c r="AG665" s="306">
        <f t="shared" ca="1" si="317"/>
        <v>5.6157243762023423</v>
      </c>
      <c r="AH665" s="304">
        <f t="shared" ca="1" si="318"/>
        <v>-4.13861517434378</v>
      </c>
    </row>
    <row r="666" spans="1:34" x14ac:dyDescent="0.2">
      <c r="A666" s="347">
        <f t="shared" ca="1" si="296"/>
        <v>0.1</v>
      </c>
      <c r="B666" s="304">
        <f t="shared" ca="1" si="297"/>
        <v>30.200000000000117</v>
      </c>
      <c r="D666" s="306">
        <f t="shared" ca="1" si="298"/>
        <v>-0.44131941180783746</v>
      </c>
      <c r="E666" s="307">
        <f t="shared" ca="1" si="299"/>
        <v>-5.6448770946728244</v>
      </c>
      <c r="F666" s="304">
        <f t="shared" ca="1" si="300"/>
        <v>5.6621021040952906</v>
      </c>
      <c r="G666" s="306">
        <f t="shared" ca="1" si="301"/>
        <v>10.799974552390076</v>
      </c>
      <c r="H666" s="307">
        <f t="shared" ca="1" si="302"/>
        <v>-102.90994348526291</v>
      </c>
      <c r="I666" s="304">
        <f t="shared" ca="1" si="303"/>
        <v>103.47509805973745</v>
      </c>
      <c r="J666" s="306">
        <f t="shared" ca="1" si="304"/>
        <v>446.90089448789547</v>
      </c>
      <c r="K666" s="307">
        <f t="shared" ca="1" si="305"/>
        <v>893.2744326142722</v>
      </c>
      <c r="L666" s="304">
        <f t="shared" ca="1" si="290"/>
        <v>998.82912525438053</v>
      </c>
      <c r="M666" s="306">
        <f t="shared" ca="1" si="306"/>
        <v>-1.4662331995603384</v>
      </c>
      <c r="N666" s="304">
        <f t="shared" ca="1" si="307"/>
        <v>-84.008974116770375</v>
      </c>
      <c r="P666" s="310">
        <f t="shared" ca="1" si="308"/>
        <v>23</v>
      </c>
      <c r="Q666" s="304">
        <f t="shared" ca="1" si="309"/>
        <v>0</v>
      </c>
      <c r="R666" s="306">
        <f t="shared" ca="1" si="310"/>
        <v>0</v>
      </c>
      <c r="S666" s="307">
        <f t="shared" ca="1" si="311"/>
        <v>7.4819999999999904</v>
      </c>
      <c r="T666" s="304">
        <f t="shared" ca="1" si="291"/>
        <v>73.398419999999916</v>
      </c>
      <c r="U666" s="311">
        <f t="shared" ca="1" si="292"/>
        <v>0</v>
      </c>
      <c r="V666" s="306">
        <f t="shared" ca="1" si="293"/>
        <v>1.1202523039429044</v>
      </c>
      <c r="W666" s="304">
        <f t="shared" ca="1" si="294"/>
        <v>31.71045273771859</v>
      </c>
      <c r="Y666" s="314" t="str">
        <f t="shared" ca="1" si="312"/>
        <v/>
      </c>
      <c r="Z666" s="315" t="str">
        <f t="shared" ca="1" si="313"/>
        <v/>
      </c>
      <c r="AA666" s="316" t="str">
        <f t="shared" ca="1" si="314"/>
        <v/>
      </c>
      <c r="AC666" s="310" t="e">
        <f t="shared" ca="1" si="315"/>
        <v>#N/A</v>
      </c>
      <c r="AD666" s="323" t="e">
        <f t="shared" ca="1" si="316"/>
        <v>#N/A</v>
      </c>
      <c r="AE666" s="324" t="e">
        <f t="shared" ca="1" si="295"/>
        <v>#N/A</v>
      </c>
      <c r="AG666" s="306">
        <f t="shared" ca="1" si="317"/>
        <v>5.5669547658769005</v>
      </c>
      <c r="AH666" s="304">
        <f t="shared" ca="1" si="318"/>
        <v>-4.188437851958593</v>
      </c>
    </row>
    <row r="667" spans="1:34" x14ac:dyDescent="0.2">
      <c r="A667" s="347">
        <f t="shared" ca="1" si="296"/>
        <v>0.1</v>
      </c>
      <c r="B667" s="304">
        <f t="shared" ca="1" si="297"/>
        <v>30.300000000000118</v>
      </c>
      <c r="D667" s="306">
        <f t="shared" ca="1" si="298"/>
        <v>-0.44235569643642392</v>
      </c>
      <c r="E667" s="307">
        <f t="shared" ca="1" si="299"/>
        <v>-5.5949160199565346</v>
      </c>
      <c r="F667" s="304">
        <f t="shared" ca="1" si="300"/>
        <v>5.6123759525299111</v>
      </c>
      <c r="G667" s="306">
        <f t="shared" ca="1" si="301"/>
        <v>10.755738982746433</v>
      </c>
      <c r="H667" s="307">
        <f t="shared" ca="1" si="302"/>
        <v>-103.46943508725857</v>
      </c>
      <c r="I667" s="304">
        <f t="shared" ca="1" si="303"/>
        <v>104.02696726494234</v>
      </c>
      <c r="J667" s="306">
        <f t="shared" ca="1" si="304"/>
        <v>447.9786801646523</v>
      </c>
      <c r="K667" s="307">
        <f t="shared" ca="1" si="305"/>
        <v>882.95546368564612</v>
      </c>
      <c r="L667" s="304">
        <f t="shared" ca="1" si="290"/>
        <v>990.09860556128365</v>
      </c>
      <c r="M667" s="306">
        <f t="shared" ca="1" si="306"/>
        <v>-1.467217459990096</v>
      </c>
      <c r="N667" s="304">
        <f t="shared" ca="1" si="307"/>
        <v>-84.065368085337226</v>
      </c>
      <c r="P667" s="310">
        <f t="shared" ca="1" si="308"/>
        <v>23</v>
      </c>
      <c r="Q667" s="304">
        <f t="shared" ca="1" si="309"/>
        <v>0</v>
      </c>
      <c r="R667" s="306">
        <f t="shared" ca="1" si="310"/>
        <v>0</v>
      </c>
      <c r="S667" s="307">
        <f t="shared" ca="1" si="311"/>
        <v>7.4819999999999904</v>
      </c>
      <c r="T667" s="304">
        <f t="shared" ca="1" si="291"/>
        <v>73.398419999999916</v>
      </c>
      <c r="U667" s="311">
        <f t="shared" ca="1" si="292"/>
        <v>0</v>
      </c>
      <c r="V667" s="306">
        <f t="shared" ca="1" si="293"/>
        <v>1.1214111717907176</v>
      </c>
      <c r="W667" s="304">
        <f t="shared" ca="1" si="294"/>
        <v>32.082755158394413</v>
      </c>
      <c r="Y667" s="314" t="str">
        <f t="shared" ca="1" si="312"/>
        <v/>
      </c>
      <c r="Z667" s="315" t="str">
        <f t="shared" ca="1" si="313"/>
        <v/>
      </c>
      <c r="AA667" s="316" t="str">
        <f t="shared" ca="1" si="314"/>
        <v/>
      </c>
      <c r="AC667" s="310" t="e">
        <f t="shared" ca="1" si="315"/>
        <v>#N/A</v>
      </c>
      <c r="AD667" s="323" t="e">
        <f t="shared" ca="1" si="316"/>
        <v>#N/A</v>
      </c>
      <c r="AE667" s="324" t="e">
        <f t="shared" ca="1" si="295"/>
        <v>#N/A</v>
      </c>
      <c r="AG667" s="306">
        <f t="shared" ca="1" si="317"/>
        <v>5.5181881617957833</v>
      </c>
      <c r="AH667" s="304">
        <f t="shared" ca="1" si="318"/>
        <v>-4.2382321221222439</v>
      </c>
    </row>
    <row r="668" spans="1:34" x14ac:dyDescent="0.2">
      <c r="A668" s="347">
        <f t="shared" ca="1" si="296"/>
        <v>0.1</v>
      </c>
      <c r="B668" s="304">
        <f t="shared" ca="1" si="297"/>
        <v>30.400000000000119</v>
      </c>
      <c r="D668" s="306">
        <f t="shared" ca="1" si="298"/>
        <v>-0.44335158957182985</v>
      </c>
      <c r="E668" s="307">
        <f t="shared" ca="1" si="299"/>
        <v>-5.5449896095821947</v>
      </c>
      <c r="F668" s="304">
        <f t="shared" ca="1" si="300"/>
        <v>5.5626855386899559</v>
      </c>
      <c r="G668" s="306">
        <f t="shared" ca="1" si="301"/>
        <v>10.711403823789249</v>
      </c>
      <c r="H668" s="307">
        <f t="shared" ca="1" si="302"/>
        <v>-104.02393404821679</v>
      </c>
      <c r="I668" s="304">
        <f t="shared" ca="1" si="303"/>
        <v>104.57395960153772</v>
      </c>
      <c r="J668" s="306">
        <f t="shared" ca="1" si="304"/>
        <v>449.05203730497908</v>
      </c>
      <c r="K668" s="307">
        <f t="shared" ca="1" si="305"/>
        <v>872.58079522887238</v>
      </c>
      <c r="L668" s="304">
        <f t="shared" ca="1" si="290"/>
        <v>981.3485499097676</v>
      </c>
      <c r="M668" s="306">
        <f t="shared" ca="1" si="306"/>
        <v>-1.4681873887561245</v>
      </c>
      <c r="N668" s="304">
        <f t="shared" ca="1" si="307"/>
        <v>-84.120940910058991</v>
      </c>
      <c r="P668" s="310">
        <f t="shared" ca="1" si="308"/>
        <v>23</v>
      </c>
      <c r="Q668" s="304">
        <f t="shared" ca="1" si="309"/>
        <v>0</v>
      </c>
      <c r="R668" s="306">
        <f t="shared" ca="1" si="310"/>
        <v>0</v>
      </c>
      <c r="S668" s="307">
        <f t="shared" ca="1" si="311"/>
        <v>7.4819999999999904</v>
      </c>
      <c r="T668" s="304">
        <f t="shared" ca="1" si="291"/>
        <v>73.398419999999916</v>
      </c>
      <c r="U668" s="311">
        <f t="shared" ca="1" si="292"/>
        <v>0</v>
      </c>
      <c r="V668" s="306">
        <f t="shared" ca="1" si="293"/>
        <v>1.1225774500870822</v>
      </c>
      <c r="W668" s="304">
        <f t="shared" ca="1" si="294"/>
        <v>32.454754073194238</v>
      </c>
      <c r="Y668" s="314" t="str">
        <f t="shared" ca="1" si="312"/>
        <v/>
      </c>
      <c r="Z668" s="315" t="str">
        <f t="shared" ca="1" si="313"/>
        <v/>
      </c>
      <c r="AA668" s="316" t="str">
        <f t="shared" ca="1" si="314"/>
        <v/>
      </c>
      <c r="AC668" s="310" t="e">
        <f t="shared" ca="1" si="315"/>
        <v>#N/A</v>
      </c>
      <c r="AD668" s="323" t="e">
        <f t="shared" ca="1" si="316"/>
        <v>#N/A</v>
      </c>
      <c r="AE668" s="324" t="e">
        <f t="shared" ca="1" si="295"/>
        <v>#N/A</v>
      </c>
      <c r="AG668" s="306">
        <f t="shared" ca="1" si="317"/>
        <v>5.4694314700541442</v>
      </c>
      <c r="AH668" s="304">
        <f t="shared" ca="1" si="318"/>
        <v>-4.2879918682697751</v>
      </c>
    </row>
    <row r="669" spans="1:34" x14ac:dyDescent="0.2">
      <c r="A669" s="347">
        <f t="shared" ca="1" si="296"/>
        <v>0.1</v>
      </c>
      <c r="B669" s="304">
        <f t="shared" ca="1" si="297"/>
        <v>30.500000000000121</v>
      </c>
      <c r="D669" s="306">
        <f t="shared" ca="1" si="298"/>
        <v>-0.44430731035090082</v>
      </c>
      <c r="E669" s="307">
        <f t="shared" ca="1" si="299"/>
        <v>-5.4951039220055771</v>
      </c>
      <c r="F669" s="304">
        <f t="shared" ca="1" si="300"/>
        <v>5.5130369216677959</v>
      </c>
      <c r="G669" s="306">
        <f t="shared" ca="1" si="301"/>
        <v>10.666973092754159</v>
      </c>
      <c r="H669" s="307">
        <f t="shared" ca="1" si="302"/>
        <v>-104.57344444041735</v>
      </c>
      <c r="I669" s="304">
        <f t="shared" ca="1" si="303"/>
        <v>105.11607677750628</v>
      </c>
      <c r="J669" s="306">
        <f t="shared" ca="1" si="304"/>
        <v>450.12095615080625</v>
      </c>
      <c r="K669" s="307">
        <f t="shared" ca="1" si="305"/>
        <v>862.15092630444065</v>
      </c>
      <c r="L669" s="304">
        <f t="shared" ca="1" si="290"/>
        <v>972.58063670511194</v>
      </c>
      <c r="M669" s="306">
        <f t="shared" ca="1" si="306"/>
        <v>-1.4691433114461216</v>
      </c>
      <c r="N669" s="304">
        <f t="shared" ca="1" si="307"/>
        <v>-84.175711245736622</v>
      </c>
      <c r="P669" s="310">
        <f t="shared" ca="1" si="308"/>
        <v>23</v>
      </c>
      <c r="Q669" s="304">
        <f t="shared" ca="1" si="309"/>
        <v>0</v>
      </c>
      <c r="R669" s="306">
        <f t="shared" ca="1" si="310"/>
        <v>0</v>
      </c>
      <c r="S669" s="307">
        <f t="shared" ca="1" si="311"/>
        <v>7.4819999999999904</v>
      </c>
      <c r="T669" s="304">
        <f t="shared" ca="1" si="291"/>
        <v>73.398419999999916</v>
      </c>
      <c r="U669" s="311">
        <f t="shared" ca="1" si="292"/>
        <v>0</v>
      </c>
      <c r="V669" s="306">
        <f t="shared" ca="1" si="293"/>
        <v>1.1237511030426601</v>
      </c>
      <c r="W669" s="304">
        <f t="shared" ca="1" si="294"/>
        <v>32.826404858046288</v>
      </c>
      <c r="Y669" s="314" t="str">
        <f t="shared" ca="1" si="312"/>
        <v/>
      </c>
      <c r="Z669" s="315" t="str">
        <f t="shared" ca="1" si="313"/>
        <v/>
      </c>
      <c r="AA669" s="316" t="str">
        <f t="shared" ca="1" si="314"/>
        <v/>
      </c>
      <c r="AC669" s="310" t="e">
        <f t="shared" ca="1" si="315"/>
        <v>#N/A</v>
      </c>
      <c r="AD669" s="323" t="e">
        <f t="shared" ca="1" si="316"/>
        <v>#N/A</v>
      </c>
      <c r="AE669" s="324" t="e">
        <f t="shared" ca="1" si="295"/>
        <v>#N/A</v>
      </c>
      <c r="AG669" s="306">
        <f t="shared" ca="1" si="317"/>
        <v>5.4206914905748684</v>
      </c>
      <c r="AH669" s="304">
        <f t="shared" ca="1" si="318"/>
        <v>-4.3377110496116389</v>
      </c>
    </row>
    <row r="670" spans="1:34" x14ac:dyDescent="0.2">
      <c r="A670" s="347">
        <f t="shared" ca="1" si="296"/>
        <v>0.1</v>
      </c>
      <c r="B670" s="304">
        <f t="shared" ca="1" si="297"/>
        <v>30.600000000000122</v>
      </c>
      <c r="D670" s="306">
        <f t="shared" ca="1" si="298"/>
        <v>-0.4452230841475236</v>
      </c>
      <c r="E670" s="307">
        <f t="shared" ca="1" si="299"/>
        <v>-5.4452649389058179</v>
      </c>
      <c r="F670" s="304">
        <f t="shared" ca="1" si="300"/>
        <v>5.4634360845108105</v>
      </c>
      <c r="G670" s="306">
        <f t="shared" ca="1" si="301"/>
        <v>10.622450784339406</v>
      </c>
      <c r="H670" s="307">
        <f t="shared" ca="1" si="302"/>
        <v>-105.11797093430793</v>
      </c>
      <c r="I670" s="304">
        <f t="shared" ca="1" si="303"/>
        <v>105.65332116886681</v>
      </c>
      <c r="J670" s="306">
        <f t="shared" ca="1" si="304"/>
        <v>451.18542734466092</v>
      </c>
      <c r="K670" s="307">
        <f t="shared" ca="1" si="305"/>
        <v>851.66635553570438</v>
      </c>
      <c r="L670" s="304">
        <f t="shared" ca="1" si="290"/>
        <v>963.79659212909291</v>
      </c>
      <c r="M670" s="306">
        <f t="shared" ca="1" si="306"/>
        <v>-1.4700855437166451</v>
      </c>
      <c r="N670" s="304">
        <f t="shared" ca="1" si="307"/>
        <v>-84.229697178158645</v>
      </c>
      <c r="P670" s="310">
        <f t="shared" ca="1" si="308"/>
        <v>23</v>
      </c>
      <c r="Q670" s="304">
        <f t="shared" ca="1" si="309"/>
        <v>0</v>
      </c>
      <c r="R670" s="306">
        <f t="shared" ca="1" si="310"/>
        <v>0</v>
      </c>
      <c r="S670" s="307">
        <f t="shared" ca="1" si="311"/>
        <v>7.4819999999999904</v>
      </c>
      <c r="T670" s="304">
        <f t="shared" ca="1" si="291"/>
        <v>73.398419999999916</v>
      </c>
      <c r="U670" s="311">
        <f t="shared" ca="1" si="292"/>
        <v>0</v>
      </c>
      <c r="V670" s="306">
        <f t="shared" ca="1" si="293"/>
        <v>1.1249320948510897</v>
      </c>
      <c r="W670" s="304">
        <f t="shared" ca="1" si="294"/>
        <v>33.197663467838808</v>
      </c>
      <c r="Y670" s="314" t="str">
        <f t="shared" ca="1" si="312"/>
        <v/>
      </c>
      <c r="Z670" s="315" t="str">
        <f t="shared" ca="1" si="313"/>
        <v/>
      </c>
      <c r="AA670" s="316" t="str">
        <f t="shared" ca="1" si="314"/>
        <v/>
      </c>
      <c r="AC670" s="310" t="e">
        <f t="shared" ca="1" si="315"/>
        <v>#N/A</v>
      </c>
      <c r="AD670" s="323" t="e">
        <f t="shared" ca="1" si="316"/>
        <v>#N/A</v>
      </c>
      <c r="AE670" s="324" t="e">
        <f t="shared" ca="1" si="295"/>
        <v>#N/A</v>
      </c>
      <c r="AG670" s="306">
        <f t="shared" ca="1" si="317"/>
        <v>5.3719749176748319</v>
      </c>
      <c r="AH670" s="304">
        <f t="shared" ca="1" si="318"/>
        <v>-4.3873837019575426</v>
      </c>
    </row>
    <row r="671" spans="1:34" x14ac:dyDescent="0.2">
      <c r="A671" s="347">
        <f t="shared" ca="1" si="296"/>
        <v>0.1</v>
      </c>
      <c r="B671" s="304">
        <f t="shared" ca="1" si="297"/>
        <v>30.700000000000124</v>
      </c>
      <c r="D671" s="306">
        <f t="shared" ca="1" si="298"/>
        <v>-0.44609914241388848</v>
      </c>
      <c r="E671" s="307">
        <f t="shared" ca="1" si="299"/>
        <v>-5.3954785643990153</v>
      </c>
      <c r="F671" s="304">
        <f t="shared" ca="1" si="300"/>
        <v>5.4138889334517817</v>
      </c>
      <c r="G671" s="306">
        <f t="shared" ca="1" si="301"/>
        <v>10.577840870098017</v>
      </c>
      <c r="H671" s="307">
        <f t="shared" ca="1" si="302"/>
        <v>-105.65751879074783</v>
      </c>
      <c r="I671" s="304">
        <f t="shared" ca="1" si="303"/>
        <v>106.1856958092301</v>
      </c>
      <c r="J671" s="306">
        <f t="shared" ca="1" si="304"/>
        <v>452.24544192738279</v>
      </c>
      <c r="K671" s="307">
        <f t="shared" ca="1" si="305"/>
        <v>841.12758104945158</v>
      </c>
      <c r="L671" s="304">
        <f t="shared" ca="1" si="290"/>
        <v>954.99819232614016</v>
      </c>
      <c r="M671" s="306">
        <f t="shared" ca="1" si="306"/>
        <v>-1.4710143916662353</v>
      </c>
      <c r="N671" s="304">
        <f t="shared" ca="1" si="307"/>
        <v>-84.282916245479541</v>
      </c>
      <c r="P671" s="310">
        <f t="shared" ca="1" si="308"/>
        <v>23</v>
      </c>
      <c r="Q671" s="304">
        <f t="shared" ca="1" si="309"/>
        <v>0</v>
      </c>
      <c r="R671" s="306">
        <f t="shared" ca="1" si="310"/>
        <v>0</v>
      </c>
      <c r="S671" s="307">
        <f t="shared" ca="1" si="311"/>
        <v>7.4819999999999904</v>
      </c>
      <c r="T671" s="304">
        <f t="shared" ca="1" si="291"/>
        <v>73.398419999999916</v>
      </c>
      <c r="U671" s="311">
        <f t="shared" ca="1" si="292"/>
        <v>0</v>
      </c>
      <c r="V671" s="306">
        <f t="shared" ca="1" si="293"/>
        <v>1.1261203896930712</v>
      </c>
      <c r="W671" s="304">
        <f t="shared" ca="1" si="294"/>
        <v>33.568486441947336</v>
      </c>
      <c r="Y671" s="314" t="str">
        <f t="shared" ca="1" si="312"/>
        <v/>
      </c>
      <c r="Z671" s="315" t="str">
        <f t="shared" ca="1" si="313"/>
        <v/>
      </c>
      <c r="AA671" s="316" t="str">
        <f t="shared" ca="1" si="314"/>
        <v/>
      </c>
      <c r="AC671" s="310" t="e">
        <f t="shared" ca="1" si="315"/>
        <v>#N/A</v>
      </c>
      <c r="AD671" s="323" t="e">
        <f t="shared" ca="1" si="316"/>
        <v>#N/A</v>
      </c>
      <c r="AE671" s="324" t="e">
        <f t="shared" ca="1" si="295"/>
        <v>#N/A</v>
      </c>
      <c r="AG671" s="306">
        <f t="shared" ca="1" si="317"/>
        <v>5.3232883406005103</v>
      </c>
      <c r="AH671" s="304">
        <f t="shared" ca="1" si="318"/>
        <v>-4.4370039384975746</v>
      </c>
    </row>
    <row r="672" spans="1:34" x14ac:dyDescent="0.2">
      <c r="A672" s="347">
        <f t="shared" ca="1" si="296"/>
        <v>0.1</v>
      </c>
      <c r="B672" s="304">
        <f t="shared" ca="1" si="297"/>
        <v>30.800000000000125</v>
      </c>
      <c r="D672" s="306">
        <f t="shared" ca="1" si="298"/>
        <v>-0.4469357225222137</v>
      </c>
      <c r="E672" s="307">
        <f t="shared" ca="1" si="299"/>
        <v>-5.3457506242944994</v>
      </c>
      <c r="F672" s="304">
        <f t="shared" ca="1" si="300"/>
        <v>5.3644012971823321</v>
      </c>
      <c r="G672" s="306">
        <f t="shared" ca="1" si="301"/>
        <v>10.533147297845796</v>
      </c>
      <c r="H672" s="307">
        <f t="shared" ca="1" si="302"/>
        <v>-106.19209385317728</v>
      </c>
      <c r="I672" s="304">
        <f t="shared" ca="1" si="303"/>
        <v>106.71320437940251</v>
      </c>
      <c r="J672" s="306">
        <f t="shared" ca="1" si="304"/>
        <v>453.30099133578</v>
      </c>
      <c r="K672" s="307">
        <f t="shared" ca="1" si="305"/>
        <v>830.53510041725531</v>
      </c>
      <c r="L672" s="304">
        <f t="shared" ca="1" si="290"/>
        <v>946.18726569907994</v>
      </c>
      <c r="M672" s="306">
        <f t="shared" ca="1" si="306"/>
        <v>-1.4719301521919281</v>
      </c>
      <c r="N672" s="304">
        <f t="shared" ca="1" si="307"/>
        <v>-84.335385458646428</v>
      </c>
      <c r="P672" s="310">
        <f t="shared" ca="1" si="308"/>
        <v>23</v>
      </c>
      <c r="Q672" s="304">
        <f t="shared" ca="1" si="309"/>
        <v>0</v>
      </c>
      <c r="R672" s="306">
        <f t="shared" ca="1" si="310"/>
        <v>0</v>
      </c>
      <c r="S672" s="307">
        <f t="shared" ca="1" si="311"/>
        <v>7.4819999999999904</v>
      </c>
      <c r="T672" s="304">
        <f t="shared" ca="1" si="291"/>
        <v>73.398419999999916</v>
      </c>
      <c r="U672" s="311">
        <f t="shared" ca="1" si="292"/>
        <v>0</v>
      </c>
      <c r="V672" s="306">
        <f t="shared" ca="1" si="293"/>
        <v>1.1273159517404086</v>
      </c>
      <c r="W672" s="304">
        <f t="shared" ca="1" si="294"/>
        <v>33.938830909446771</v>
      </c>
      <c r="Y672" s="314" t="str">
        <f t="shared" ca="1" si="312"/>
        <v/>
      </c>
      <c r="Z672" s="315" t="str">
        <f t="shared" ca="1" si="313"/>
        <v/>
      </c>
      <c r="AA672" s="316" t="str">
        <f t="shared" ca="1" si="314"/>
        <v/>
      </c>
      <c r="AC672" s="310" t="e">
        <f t="shared" ca="1" si="315"/>
        <v>#N/A</v>
      </c>
      <c r="AD672" s="323" t="e">
        <f t="shared" ca="1" si="316"/>
        <v>#N/A</v>
      </c>
      <c r="AE672" s="324" t="e">
        <f t="shared" ca="1" si="295"/>
        <v>#N/A</v>
      </c>
      <c r="AG672" s="306">
        <f t="shared" ca="1" si="317"/>
        <v>5.2746382440370132</v>
      </c>
      <c r="AH672" s="304">
        <f t="shared" ca="1" si="318"/>
        <v>-4.4865659505409488</v>
      </c>
    </row>
    <row r="673" spans="1:34" x14ac:dyDescent="0.2">
      <c r="A673" s="347">
        <f t="shared" ca="1" si="296"/>
        <v>0.1</v>
      </c>
      <c r="B673" s="304">
        <f t="shared" ca="1" si="297"/>
        <v>30.900000000000126</v>
      </c>
      <c r="D673" s="306">
        <f t="shared" ca="1" si="298"/>
        <v>-0.44773306760697834</v>
      </c>
      <c r="E673" s="307">
        <f t="shared" ca="1" si="299"/>
        <v>-5.2960868653934901</v>
      </c>
      <c r="F673" s="304">
        <f t="shared" ca="1" si="300"/>
        <v>5.3149789261691529</v>
      </c>
      <c r="G673" s="306">
        <f t="shared" ca="1" si="301"/>
        <v>10.488373991085098</v>
      </c>
      <c r="H673" s="307">
        <f t="shared" ca="1" si="302"/>
        <v>-106.72170253971663</v>
      </c>
      <c r="I673" s="304">
        <f t="shared" ca="1" si="303"/>
        <v>107.23585119703499</v>
      </c>
      <c r="J673" s="306">
        <f t="shared" ca="1" si="304"/>
        <v>454.35206740022653</v>
      </c>
      <c r="K673" s="307">
        <f t="shared" ca="1" si="305"/>
        <v>819.88941059761066</v>
      </c>
      <c r="L673" s="304">
        <f t="shared" ca="1" si="290"/>
        <v>937.36569531904536</v>
      </c>
      <c r="M673" s="306">
        <f t="shared" ca="1" si="306"/>
        <v>-1.4728331133300123</v>
      </c>
      <c r="N673" s="304">
        <f t="shared" ca="1" si="307"/>
        <v>-84.387121320922972</v>
      </c>
      <c r="P673" s="310">
        <f t="shared" ca="1" si="308"/>
        <v>23</v>
      </c>
      <c r="Q673" s="304">
        <f t="shared" ca="1" si="309"/>
        <v>0</v>
      </c>
      <c r="R673" s="306">
        <f t="shared" ca="1" si="310"/>
        <v>0</v>
      </c>
      <c r="S673" s="307">
        <f t="shared" ca="1" si="311"/>
        <v>7.4819999999999904</v>
      </c>
      <c r="T673" s="304">
        <f t="shared" ca="1" si="291"/>
        <v>73.398419999999916</v>
      </c>
      <c r="U673" s="311">
        <f t="shared" ca="1" si="292"/>
        <v>0</v>
      </c>
      <c r="V673" s="306">
        <f t="shared" ca="1" si="293"/>
        <v>1.1285187451600165</v>
      </c>
      <c r="W673" s="304">
        <f t="shared" ca="1" si="294"/>
        <v>34.308654594010783</v>
      </c>
      <c r="Y673" s="314" t="str">
        <f t="shared" ca="1" si="312"/>
        <v/>
      </c>
      <c r="Z673" s="315" t="str">
        <f t="shared" ca="1" si="313"/>
        <v/>
      </c>
      <c r="AA673" s="316" t="str">
        <f t="shared" ca="1" si="314"/>
        <v/>
      </c>
      <c r="AC673" s="310" t="e">
        <f t="shared" ca="1" si="315"/>
        <v>#N/A</v>
      </c>
      <c r="AD673" s="323" t="e">
        <f t="shared" ca="1" si="316"/>
        <v>#N/A</v>
      </c>
      <c r="AE673" s="324" t="e">
        <f t="shared" ca="1" si="295"/>
        <v>#N/A</v>
      </c>
      <c r="AG673" s="306">
        <f t="shared" ca="1" si="317"/>
        <v>5.2260310085943553</v>
      </c>
      <c r="AH673" s="304">
        <f t="shared" ca="1" si="318"/>
        <v>-4.5360640082126187</v>
      </c>
    </row>
    <row r="674" spans="1:34" x14ac:dyDescent="0.2">
      <c r="A674" s="347">
        <f t="shared" ca="1" si="296"/>
        <v>0.1</v>
      </c>
      <c r="B674" s="304">
        <f t="shared" ca="1" si="297"/>
        <v>31.000000000000128</v>
      </c>
      <c r="D674" s="306">
        <f t="shared" ca="1" si="298"/>
        <v>-0.4484914264077085</v>
      </c>
      <c r="E674" s="307">
        <f t="shared" ca="1" si="299"/>
        <v>-5.2464929548298027</v>
      </c>
      <c r="F674" s="304">
        <f t="shared" ca="1" si="300"/>
        <v>5.265627492012702</v>
      </c>
      <c r="G674" s="306">
        <f t="shared" ca="1" si="301"/>
        <v>10.443524848444326</v>
      </c>
      <c r="H674" s="307">
        <f t="shared" ca="1" si="302"/>
        <v>-107.2463518351996</v>
      </c>
      <c r="I674" s="304">
        <f t="shared" ca="1" si="303"/>
        <v>107.75364120631606</v>
      </c>
      <c r="J674" s="306">
        <f t="shared" ca="1" si="304"/>
        <v>455.39866234220301</v>
      </c>
      <c r="K674" s="307">
        <f t="shared" ca="1" si="305"/>
        <v>809.19100787886487</v>
      </c>
      <c r="L674" s="304">
        <f t="shared" ca="1" si="290"/>
        <v>928.53542145417418</v>
      </c>
      <c r="M674" s="306">
        <f t="shared" ca="1" si="306"/>
        <v>-1.4737235545818335</v>
      </c>
      <c r="N674" s="304">
        <f t="shared" ca="1" si="307"/>
        <v>-84.438139846556666</v>
      </c>
      <c r="P674" s="310">
        <f t="shared" ca="1" si="308"/>
        <v>23</v>
      </c>
      <c r="Q674" s="304">
        <f t="shared" ca="1" si="309"/>
        <v>0</v>
      </c>
      <c r="R674" s="306">
        <f t="shared" ca="1" si="310"/>
        <v>0</v>
      </c>
      <c r="S674" s="307">
        <f t="shared" ca="1" si="311"/>
        <v>7.4819999999999904</v>
      </c>
      <c r="T674" s="304">
        <f t="shared" ca="1" si="291"/>
        <v>73.398419999999916</v>
      </c>
      <c r="U674" s="311">
        <f t="shared" ca="1" si="292"/>
        <v>0</v>
      </c>
      <c r="V674" s="306">
        <f t="shared" ca="1" si="293"/>
        <v>1.1297287341178912</v>
      </c>
      <c r="W674" s="304">
        <f t="shared" ca="1" si="294"/>
        <v>34.677915818501177</v>
      </c>
      <c r="Y674" s="314" t="str">
        <f t="shared" ca="1" si="312"/>
        <v/>
      </c>
      <c r="Z674" s="315" t="str">
        <f t="shared" ca="1" si="313"/>
        <v/>
      </c>
      <c r="AA674" s="316" t="str">
        <f t="shared" ca="1" si="314"/>
        <v/>
      </c>
      <c r="AC674" s="310">
        <f t="shared" ca="1" si="315"/>
        <v>31.000000000000128</v>
      </c>
      <c r="AD674" s="323">
        <f t="shared" ca="1" si="316"/>
        <v>455.39866234220301</v>
      </c>
      <c r="AE674" s="324" t="e">
        <f t="shared" ca="1" si="295"/>
        <v>#N/A</v>
      </c>
      <c r="AG674" s="306">
        <f t="shared" ca="1" si="317"/>
        <v>5.177472911274446</v>
      </c>
      <c r="AH674" s="304">
        <f t="shared" ca="1" si="318"/>
        <v>-4.5854924611081032</v>
      </c>
    </row>
    <row r="675" spans="1:34" x14ac:dyDescent="0.2">
      <c r="A675" s="347">
        <f t="shared" ca="1" si="296"/>
        <v>0.1</v>
      </c>
      <c r="B675" s="304">
        <f t="shared" ca="1" si="297"/>
        <v>31.100000000000129</v>
      </c>
      <c r="D675" s="306">
        <f t="shared" ca="1" si="298"/>
        <v>-0.44921105311235632</v>
      </c>
      <c r="E675" s="307">
        <f t="shared" ca="1" si="299"/>
        <v>-5.1969744794522459</v>
      </c>
      <c r="F675" s="304">
        <f t="shared" ca="1" si="300"/>
        <v>5.2163525868480418</v>
      </c>
      <c r="G675" s="306">
        <f t="shared" ca="1" si="301"/>
        <v>10.398603743133091</v>
      </c>
      <c r="H675" s="307">
        <f t="shared" ca="1" si="302"/>
        <v>-107.76604928314482</v>
      </c>
      <c r="I675" s="304">
        <f t="shared" ca="1" si="303"/>
        <v>108.26657996770703</v>
      </c>
      <c r="J675" s="306">
        <f t="shared" ca="1" si="304"/>
        <v>456.4407687717819</v>
      </c>
      <c r="K675" s="307">
        <f t="shared" ca="1" si="305"/>
        <v>798.44038782294763</v>
      </c>
      <c r="L675" s="304">
        <f t="shared" ca="1" si="290"/>
        <v>919.69844422171025</v>
      </c>
      <c r="M675" s="306">
        <f t="shared" ca="1" si="306"/>
        <v>-1.4746017472254023</v>
      </c>
      <c r="N675" s="304">
        <f t="shared" ca="1" si="307"/>
        <v>-84.488456578632608</v>
      </c>
      <c r="P675" s="310">
        <f t="shared" ca="1" si="308"/>
        <v>23</v>
      </c>
      <c r="Q675" s="304">
        <f t="shared" ca="1" si="309"/>
        <v>0</v>
      </c>
      <c r="R675" s="306">
        <f t="shared" ca="1" si="310"/>
        <v>0</v>
      </c>
      <c r="S675" s="307">
        <f t="shared" ca="1" si="311"/>
        <v>7.4819999999999904</v>
      </c>
      <c r="T675" s="304">
        <f t="shared" ca="1" si="291"/>
        <v>73.398419999999916</v>
      </c>
      <c r="U675" s="311">
        <f t="shared" ca="1" si="292"/>
        <v>0</v>
      </c>
      <c r="V675" s="306">
        <f t="shared" ca="1" si="293"/>
        <v>1.1309458827830419</v>
      </c>
      <c r="W675" s="304">
        <f t="shared" ca="1" si="294"/>
        <v>35.046573509249875</v>
      </c>
      <c r="Y675" s="314" t="str">
        <f t="shared" ca="1" si="312"/>
        <v/>
      </c>
      <c r="Z675" s="315" t="str">
        <f t="shared" ca="1" si="313"/>
        <v/>
      </c>
      <c r="AA675" s="316" t="str">
        <f t="shared" ca="1" si="314"/>
        <v/>
      </c>
      <c r="AC675" s="310" t="e">
        <f t="shared" ca="1" si="315"/>
        <v>#N/A</v>
      </c>
      <c r="AD675" s="323" t="e">
        <f t="shared" ca="1" si="316"/>
        <v>#N/A</v>
      </c>
      <c r="AE675" s="324" t="e">
        <f t="shared" ca="1" si="295"/>
        <v>#N/A</v>
      </c>
      <c r="AG675" s="306">
        <f t="shared" ca="1" si="317"/>
        <v>5.1289701259220104</v>
      </c>
      <c r="AH675" s="304">
        <f t="shared" ca="1" si="318"/>
        <v>-4.6348457389068729</v>
      </c>
    </row>
    <row r="676" spans="1:34" x14ac:dyDescent="0.2">
      <c r="A676" s="347">
        <f t="shared" ca="1" si="296"/>
        <v>0.1</v>
      </c>
      <c r="B676" s="304">
        <f t="shared" ca="1" si="297"/>
        <v>31.200000000000131</v>
      </c>
      <c r="D676" s="306">
        <f t="shared" ca="1" si="298"/>
        <v>-0.44989220720132117</v>
      </c>
      <c r="E676" s="307">
        <f t="shared" ca="1" si="299"/>
        <v>-5.1475369452483335</v>
      </c>
      <c r="F676" s="304">
        <f t="shared" ca="1" si="300"/>
        <v>5.1671597227874644</v>
      </c>
      <c r="G676" s="306">
        <f t="shared" ca="1" si="301"/>
        <v>10.353614522412958</v>
      </c>
      <c r="H676" s="307">
        <f t="shared" ca="1" si="302"/>
        <v>-108.28080297766965</v>
      </c>
      <c r="I676" s="304">
        <f t="shared" ca="1" si="303"/>
        <v>108.77467364771834</v>
      </c>
      <c r="J676" s="306">
        <f t="shared" ca="1" si="304"/>
        <v>457.47837968505922</v>
      </c>
      <c r="K676" s="307">
        <f t="shared" ca="1" si="305"/>
        <v>787.63804520990686</v>
      </c>
      <c r="L676" s="304">
        <f t="shared" ca="1" si="290"/>
        <v>910.85682636809088</v>
      </c>
      <c r="M676" s="306">
        <f t="shared" ca="1" si="306"/>
        <v>-1.4754679546135188</v>
      </c>
      <c r="N676" s="304">
        <f t="shared" ca="1" si="307"/>
        <v>-84.538086606154721</v>
      </c>
      <c r="P676" s="310">
        <f t="shared" ca="1" si="308"/>
        <v>23</v>
      </c>
      <c r="Q676" s="304">
        <f t="shared" ca="1" si="309"/>
        <v>0</v>
      </c>
      <c r="R676" s="306">
        <f t="shared" ca="1" si="310"/>
        <v>0</v>
      </c>
      <c r="S676" s="307">
        <f t="shared" ca="1" si="311"/>
        <v>7.4819999999999904</v>
      </c>
      <c r="T676" s="304">
        <f t="shared" ca="1" si="291"/>
        <v>73.398419999999916</v>
      </c>
      <c r="U676" s="311">
        <f t="shared" ca="1" si="292"/>
        <v>0</v>
      </c>
      <c r="V676" s="306">
        <f t="shared" ca="1" si="293"/>
        <v>1.132170155331383</v>
      </c>
      <c r="W676" s="304">
        <f t="shared" ca="1" si="294"/>
        <v>35.414587200036159</v>
      </c>
      <c r="Y676" s="314" t="str">
        <f t="shared" ca="1" si="312"/>
        <v/>
      </c>
      <c r="Z676" s="315" t="str">
        <f t="shared" ca="1" si="313"/>
        <v/>
      </c>
      <c r="AA676" s="316" t="str">
        <f t="shared" ca="1" si="314"/>
        <v/>
      </c>
      <c r="AC676" s="310" t="e">
        <f t="shared" ca="1" si="315"/>
        <v>#N/A</v>
      </c>
      <c r="AD676" s="323" t="e">
        <f t="shared" ca="1" si="316"/>
        <v>#N/A</v>
      </c>
      <c r="AE676" s="324" t="e">
        <f t="shared" ca="1" si="295"/>
        <v>#N/A</v>
      </c>
      <c r="AG676" s="306">
        <f t="shared" ca="1" si="317"/>
        <v>5.080528723662427</v>
      </c>
      <c r="AH676" s="304">
        <f t="shared" ca="1" si="318"/>
        <v>-4.6841183519446563</v>
      </c>
    </row>
    <row r="677" spans="1:34" x14ac:dyDescent="0.2">
      <c r="A677" s="347">
        <f t="shared" ca="1" si="296"/>
        <v>0.1</v>
      </c>
      <c r="B677" s="304">
        <f t="shared" ca="1" si="297"/>
        <v>31.300000000000132</v>
      </c>
      <c r="D677" s="306">
        <f t="shared" ca="1" si="298"/>
        <v>-0.45053515329215971</v>
      </c>
      <c r="E677" s="307">
        <f t="shared" ca="1" si="299"/>
        <v>-5.0981857768089691</v>
      </c>
      <c r="F677" s="304">
        <f t="shared" ca="1" si="300"/>
        <v>5.1180543314045881</v>
      </c>
      <c r="G677" s="306">
        <f t="shared" ca="1" si="301"/>
        <v>10.308561007083743</v>
      </c>
      <c r="H677" s="307">
        <f t="shared" ca="1" si="302"/>
        <v>-108.79062155535055</v>
      </c>
      <c r="I677" s="304">
        <f t="shared" ca="1" si="303"/>
        <v>109.27792900872652</v>
      </c>
      <c r="J677" s="306">
        <f t="shared" ca="1" si="304"/>
        <v>458.51148846153404</v>
      </c>
      <c r="K677" s="307">
        <f t="shared" ca="1" si="305"/>
        <v>776.78447398325591</v>
      </c>
      <c r="L677" s="304">
        <f t="shared" ca="1" si="290"/>
        <v>902.01269618151991</v>
      </c>
      <c r="M677" s="306">
        <f t="shared" ca="1" si="306"/>
        <v>-1.4763224324590885</v>
      </c>
      <c r="N677" s="304">
        <f t="shared" ca="1" si="307"/>
        <v>-84.587044580393297</v>
      </c>
      <c r="P677" s="310">
        <f t="shared" ca="1" si="308"/>
        <v>23</v>
      </c>
      <c r="Q677" s="304">
        <f t="shared" ca="1" si="309"/>
        <v>0</v>
      </c>
      <c r="R677" s="306">
        <f t="shared" ca="1" si="310"/>
        <v>0</v>
      </c>
      <c r="S677" s="307">
        <f t="shared" ca="1" si="311"/>
        <v>7.4819999999999904</v>
      </c>
      <c r="T677" s="304">
        <f t="shared" ca="1" si="291"/>
        <v>73.398419999999916</v>
      </c>
      <c r="U677" s="311">
        <f t="shared" ca="1" si="292"/>
        <v>0</v>
      </c>
      <c r="V677" s="306">
        <f t="shared" ca="1" si="293"/>
        <v>1.1334015159495896</v>
      </c>
      <c r="W677" s="304">
        <f t="shared" ca="1" si="294"/>
        <v>35.781917035762824</v>
      </c>
      <c r="Y677" s="314" t="str">
        <f t="shared" ca="1" si="312"/>
        <v/>
      </c>
      <c r="Z677" s="315" t="str">
        <f t="shared" ca="1" si="313"/>
        <v/>
      </c>
      <c r="AA677" s="316" t="str">
        <f t="shared" ca="1" si="314"/>
        <v/>
      </c>
      <c r="AC677" s="310" t="e">
        <f t="shared" ca="1" si="315"/>
        <v>#N/A</v>
      </c>
      <c r="AD677" s="323" t="e">
        <f t="shared" ca="1" si="316"/>
        <v>#N/A</v>
      </c>
      <c r="AE677" s="324" t="e">
        <f t="shared" ca="1" si="295"/>
        <v>#N/A</v>
      </c>
      <c r="AG677" s="306">
        <f t="shared" ca="1" si="317"/>
        <v>5.0321546733292175</v>
      </c>
      <c r="AH677" s="304">
        <f t="shared" ca="1" si="318"/>
        <v>-4.7333048917450151</v>
      </c>
    </row>
    <row r="678" spans="1:34" x14ac:dyDescent="0.2">
      <c r="A678" s="347">
        <f t="shared" ca="1" si="296"/>
        <v>0.1</v>
      </c>
      <c r="B678" s="304">
        <f t="shared" ca="1" si="297"/>
        <v>31.400000000000134</v>
      </c>
      <c r="D678" s="306">
        <f t="shared" ca="1" si="298"/>
        <v>-0.45114016098502513</v>
      </c>
      <c r="E678" s="307">
        <f t="shared" ca="1" si="299"/>
        <v>-5.0489263168335965</v>
      </c>
      <c r="F678" s="304">
        <f t="shared" ca="1" si="300"/>
        <v>5.0690417632594489</v>
      </c>
      <c r="G678" s="306">
        <f t="shared" ca="1" si="301"/>
        <v>10.263446990985241</v>
      </c>
      <c r="H678" s="307">
        <f t="shared" ca="1" si="302"/>
        <v>-109.29551418703392</v>
      </c>
      <c r="I678" s="304">
        <f t="shared" ca="1" si="303"/>
        <v>109.77635339883038</v>
      </c>
      <c r="J678" s="306">
        <f t="shared" ca="1" si="304"/>
        <v>459.54008886143748</v>
      </c>
      <c r="K678" s="307">
        <f t="shared" ca="1" si="305"/>
        <v>765.88016719613665</v>
      </c>
      <c r="L678" s="304">
        <f t="shared" ca="1" si="290"/>
        <v>893.16825054138599</v>
      </c>
      <c r="M678" s="306">
        <f t="shared" ca="1" si="306"/>
        <v>-1.4771654291082632</v>
      </c>
      <c r="N678" s="304">
        <f t="shared" ca="1" si="307"/>
        <v>-84.635344730534683</v>
      </c>
      <c r="P678" s="310">
        <f t="shared" ca="1" si="308"/>
        <v>23</v>
      </c>
      <c r="Q678" s="304">
        <f t="shared" ca="1" si="309"/>
        <v>0</v>
      </c>
      <c r="R678" s="306">
        <f t="shared" ca="1" si="310"/>
        <v>0</v>
      </c>
      <c r="S678" s="307">
        <f t="shared" ca="1" si="311"/>
        <v>7.4819999999999904</v>
      </c>
      <c r="T678" s="304">
        <f t="shared" ca="1" si="291"/>
        <v>73.398419999999916</v>
      </c>
      <c r="U678" s="311">
        <f t="shared" ca="1" si="292"/>
        <v>0</v>
      </c>
      <c r="V678" s="306">
        <f t="shared" ca="1" si="293"/>
        <v>1.1346399288389089</v>
      </c>
      <c r="W678" s="304">
        <f t="shared" ca="1" si="294"/>
        <v>36.148523775833446</v>
      </c>
      <c r="Y678" s="314" t="str">
        <f t="shared" ca="1" si="312"/>
        <v/>
      </c>
      <c r="Z678" s="315" t="str">
        <f t="shared" ca="1" si="313"/>
        <v/>
      </c>
      <c r="AA678" s="316" t="str">
        <f t="shared" ca="1" si="314"/>
        <v/>
      </c>
      <c r="AC678" s="310" t="e">
        <f t="shared" ca="1" si="315"/>
        <v>#N/A</v>
      </c>
      <c r="AD678" s="323" t="e">
        <f t="shared" ca="1" si="316"/>
        <v>#N/A</v>
      </c>
      <c r="AE678" s="324" t="e">
        <f t="shared" ca="1" si="295"/>
        <v>#N/A</v>
      </c>
      <c r="AG678" s="306">
        <f t="shared" ca="1" si="317"/>
        <v>4.9838538418836835</v>
      </c>
      <c r="AH678" s="304">
        <f t="shared" ca="1" si="318"/>
        <v>-4.7824000315106749</v>
      </c>
    </row>
    <row r="679" spans="1:34" x14ac:dyDescent="0.2">
      <c r="A679" s="347">
        <f t="shared" ca="1" si="296"/>
        <v>0.1</v>
      </c>
      <c r="B679" s="304">
        <f t="shared" ca="1" si="297"/>
        <v>31.500000000000135</v>
      </c>
      <c r="D679" s="306">
        <f t="shared" ca="1" si="298"/>
        <v>-0.45170750470888005</v>
      </c>
      <c r="E679" s="307">
        <f t="shared" ca="1" si="299"/>
        <v>-4.9997638256755108</v>
      </c>
      <c r="F679" s="304">
        <f t="shared" ca="1" si="300"/>
        <v>5.020127287464307</v>
      </c>
      <c r="G679" s="306">
        <f t="shared" ca="1" si="301"/>
        <v>10.218276240514353</v>
      </c>
      <c r="H679" s="307">
        <f t="shared" ca="1" si="302"/>
        <v>-109.79549056960147</v>
      </c>
      <c r="I679" s="304">
        <f t="shared" ca="1" si="303"/>
        <v>110.26995474174689</v>
      </c>
      <c r="J679" s="306">
        <f t="shared" ca="1" si="304"/>
        <v>460.56417502301247</v>
      </c>
      <c r="K679" s="307">
        <f t="shared" ca="1" si="305"/>
        <v>754.92561695830489</v>
      </c>
      <c r="L679" s="304">
        <f t="shared" ca="1" si="290"/>
        <v>884.32575810868775</v>
      </c>
      <c r="M679" s="306">
        <f t="shared" ca="1" si="306"/>
        <v>-1.4779971858020065</v>
      </c>
      <c r="N679" s="304">
        <f t="shared" ca="1" si="307"/>
        <v>-84.683000878667926</v>
      </c>
      <c r="P679" s="310">
        <f t="shared" ca="1" si="308"/>
        <v>23</v>
      </c>
      <c r="Q679" s="304">
        <f t="shared" ca="1" si="309"/>
        <v>0</v>
      </c>
      <c r="R679" s="306">
        <f t="shared" ca="1" si="310"/>
        <v>0</v>
      </c>
      <c r="S679" s="307">
        <f t="shared" ca="1" si="311"/>
        <v>7.4819999999999904</v>
      </c>
      <c r="T679" s="304">
        <f t="shared" ca="1" si="291"/>
        <v>73.398419999999916</v>
      </c>
      <c r="U679" s="311">
        <f t="shared" ca="1" si="292"/>
        <v>0</v>
      </c>
      <c r="V679" s="306">
        <f t="shared" ca="1" si="293"/>
        <v>1.135885358218937</v>
      </c>
      <c r="W679" s="304">
        <f t="shared" ca="1" si="294"/>
        <v>36.514368797235107</v>
      </c>
      <c r="Y679" s="314" t="str">
        <f t="shared" ca="1" si="312"/>
        <v/>
      </c>
      <c r="Z679" s="315" t="str">
        <f t="shared" ca="1" si="313"/>
        <v/>
      </c>
      <c r="AA679" s="316" t="str">
        <f t="shared" ca="1" si="314"/>
        <v/>
      </c>
      <c r="AC679" s="310" t="e">
        <f t="shared" ca="1" si="315"/>
        <v>#N/A</v>
      </c>
      <c r="AD679" s="323" t="e">
        <f t="shared" ca="1" si="316"/>
        <v>#N/A</v>
      </c>
      <c r="AE679" s="324" t="e">
        <f t="shared" ca="1" si="295"/>
        <v>#N/A</v>
      </c>
      <c r="AG679" s="306">
        <f t="shared" ca="1" si="317"/>
        <v>4.9356319948290412</v>
      </c>
      <c r="AH679" s="304">
        <f t="shared" ca="1" si="318"/>
        <v>-4.8313985265749118</v>
      </c>
    </row>
    <row r="680" spans="1:34" x14ac:dyDescent="0.2">
      <c r="A680" s="347">
        <f t="shared" ca="1" si="296"/>
        <v>0.1</v>
      </c>
      <c r="B680" s="304">
        <f t="shared" ca="1" si="297"/>
        <v>31.600000000000136</v>
      </c>
      <c r="D680" s="306">
        <f t="shared" ca="1" si="298"/>
        <v>-0.45223746356854128</v>
      </c>
      <c r="E680" s="307">
        <f t="shared" ca="1" si="299"/>
        <v>-4.9507034809267561</v>
      </c>
      <c r="F680" s="304">
        <f t="shared" ca="1" si="300"/>
        <v>4.9713160912896299</v>
      </c>
      <c r="G680" s="306">
        <f t="shared" ca="1" si="301"/>
        <v>10.173052494157499</v>
      </c>
      <c r="H680" s="307">
        <f t="shared" ca="1" si="302"/>
        <v>-110.29056091769415</v>
      </c>
      <c r="I680" s="304">
        <f t="shared" ca="1" si="303"/>
        <v>110.75874152674582</v>
      </c>
      <c r="J680" s="306">
        <f t="shared" ca="1" si="304"/>
        <v>461.58374145974608</v>
      </c>
      <c r="K680" s="307">
        <f t="shared" ca="1" si="305"/>
        <v>743.92131438394006</v>
      </c>
      <c r="L680" s="304">
        <f t="shared" ca="1" si="290"/>
        <v>875.4875626613474</v>
      </c>
      <c r="M680" s="306">
        <f t="shared" ca="1" si="306"/>
        <v>-1.4788179369266501</v>
      </c>
      <c r="N680" s="304">
        <f t="shared" ca="1" si="307"/>
        <v>-84.730026454140628</v>
      </c>
      <c r="P680" s="310">
        <f t="shared" ca="1" si="308"/>
        <v>23</v>
      </c>
      <c r="Q680" s="304">
        <f t="shared" ca="1" si="309"/>
        <v>0</v>
      </c>
      <c r="R680" s="306">
        <f t="shared" ca="1" si="310"/>
        <v>0</v>
      </c>
      <c r="S680" s="307">
        <f t="shared" ca="1" si="311"/>
        <v>7.4819999999999904</v>
      </c>
      <c r="T680" s="304">
        <f t="shared" ca="1" si="291"/>
        <v>73.398419999999916</v>
      </c>
      <c r="U680" s="311">
        <f t="shared" ca="1" si="292"/>
        <v>0</v>
      </c>
      <c r="V680" s="306">
        <f t="shared" ca="1" si="293"/>
        <v>1.1371377683313497</v>
      </c>
      <c r="W680" s="304">
        <f t="shared" ca="1" si="294"/>
        <v>36.87941409732916</v>
      </c>
      <c r="Y680" s="314" t="str">
        <f t="shared" ca="1" si="312"/>
        <v/>
      </c>
      <c r="Z680" s="315" t="str">
        <f t="shared" ca="1" si="313"/>
        <v/>
      </c>
      <c r="AA680" s="316" t="str">
        <f t="shared" ca="1" si="314"/>
        <v/>
      </c>
      <c r="AC680" s="310" t="e">
        <f t="shared" ca="1" si="315"/>
        <v>#N/A</v>
      </c>
      <c r="AD680" s="323" t="e">
        <f t="shared" ca="1" si="316"/>
        <v>#N/A</v>
      </c>
      <c r="AE680" s="324" t="e">
        <f t="shared" ca="1" si="295"/>
        <v>#N/A</v>
      </c>
      <c r="AG680" s="306">
        <f t="shared" ca="1" si="317"/>
        <v>4.8874947966211177</v>
      </c>
      <c r="AH680" s="304">
        <f t="shared" ca="1" si="318"/>
        <v>-4.8802952148135734</v>
      </c>
    </row>
    <row r="681" spans="1:34" x14ac:dyDescent="0.2">
      <c r="A681" s="347">
        <f t="shared" ca="1" si="296"/>
        <v>0.1</v>
      </c>
      <c r="B681" s="304">
        <f t="shared" ca="1" si="297"/>
        <v>31.700000000000138</v>
      </c>
      <c r="D681" s="306">
        <f t="shared" ca="1" si="298"/>
        <v>-0.45273032119258433</v>
      </c>
      <c r="E681" s="307">
        <f t="shared" ca="1" si="299"/>
        <v>-4.9017503770422497</v>
      </c>
      <c r="F681" s="304">
        <f t="shared" ca="1" si="300"/>
        <v>4.9226132798099194</v>
      </c>
      <c r="G681" s="306">
        <f t="shared" ca="1" si="301"/>
        <v>10.127779462038241</v>
      </c>
      <c r="H681" s="307">
        <f t="shared" ca="1" si="302"/>
        <v>-110.78073595539837</v>
      </c>
      <c r="I681" s="304">
        <f t="shared" ca="1" si="303"/>
        <v>111.24272279862345</v>
      </c>
      <c r="J681" s="306">
        <f t="shared" ca="1" si="304"/>
        <v>462.59878305755586</v>
      </c>
      <c r="K681" s="307">
        <f t="shared" ca="1" si="305"/>
        <v>732.86774954028544</v>
      </c>
      <c r="L681" s="304">
        <f t="shared" ca="1" si="290"/>
        <v>866.65608657793109</v>
      </c>
      <c r="M681" s="306">
        <f t="shared" ca="1" si="306"/>
        <v>-1.4796279102539773</v>
      </c>
      <c r="N681" s="304">
        <f t="shared" ca="1" si="307"/>
        <v>-84.776434507314647</v>
      </c>
      <c r="P681" s="310">
        <f t="shared" ca="1" si="308"/>
        <v>23</v>
      </c>
      <c r="Q681" s="304">
        <f t="shared" ca="1" si="309"/>
        <v>0</v>
      </c>
      <c r="R681" s="306">
        <f t="shared" ca="1" si="310"/>
        <v>0</v>
      </c>
      <c r="S681" s="307">
        <f t="shared" ca="1" si="311"/>
        <v>7.4819999999999904</v>
      </c>
      <c r="T681" s="304">
        <f t="shared" ca="1" si="291"/>
        <v>73.398419999999916</v>
      </c>
      <c r="U681" s="311">
        <f t="shared" ca="1" si="292"/>
        <v>0</v>
      </c>
      <c r="V681" s="306">
        <f t="shared" ca="1" si="293"/>
        <v>1.1383971234435957</v>
      </c>
      <c r="W681" s="304">
        <f t="shared" ca="1" si="294"/>
        <v>37.243622296353955</v>
      </c>
      <c r="Y681" s="314" t="str">
        <f t="shared" ca="1" si="312"/>
        <v/>
      </c>
      <c r="Z681" s="315" t="str">
        <f t="shared" ca="1" si="313"/>
        <v/>
      </c>
      <c r="AA681" s="316" t="str">
        <f t="shared" ca="1" si="314"/>
        <v/>
      </c>
      <c r="AC681" s="310" t="e">
        <f t="shared" ca="1" si="315"/>
        <v>#N/A</v>
      </c>
      <c r="AD681" s="323" t="e">
        <f t="shared" ca="1" si="316"/>
        <v>#N/A</v>
      </c>
      <c r="AE681" s="324" t="e">
        <f t="shared" ca="1" si="295"/>
        <v>#N/A</v>
      </c>
      <c r="AG681" s="306">
        <f t="shared" ca="1" si="317"/>
        <v>4.8394478110776014</v>
      </c>
      <c r="AH681" s="304">
        <f t="shared" ca="1" si="318"/>
        <v>-4.9290850170180711</v>
      </c>
    </row>
    <row r="682" spans="1:34" x14ac:dyDescent="0.2">
      <c r="A682" s="347">
        <f t="shared" ca="1" si="296"/>
        <v>0.1</v>
      </c>
      <c r="B682" s="304">
        <f t="shared" ca="1" si="297"/>
        <v>31.800000000000139</v>
      </c>
      <c r="D682" s="306">
        <f t="shared" ca="1" si="298"/>
        <v>-0.45318636558216097</v>
      </c>
      <c r="E682" s="307">
        <f t="shared" ca="1" si="299"/>
        <v>-4.8529095250026026</v>
      </c>
      <c r="F682" s="304">
        <f t="shared" ca="1" si="300"/>
        <v>4.8740238755888914</v>
      </c>
      <c r="G682" s="306">
        <f t="shared" ca="1" si="301"/>
        <v>10.082460825480025</v>
      </c>
      <c r="H682" s="307">
        <f t="shared" ca="1" si="302"/>
        <v>-111.26602690789863</v>
      </c>
      <c r="I682" s="304">
        <f t="shared" ca="1" si="303"/>
        <v>111.72190814771542</v>
      </c>
      <c r="J682" s="306">
        <f t="shared" ca="1" si="304"/>
        <v>463.6092950719318</v>
      </c>
      <c r="K682" s="307">
        <f t="shared" ca="1" si="305"/>
        <v>721.7654113971206</v>
      </c>
      <c r="L682" s="304">
        <f t="shared" ca="1" si="290"/>
        <v>857.83383447282392</v>
      </c>
      <c r="M682" s="306">
        <f t="shared" ca="1" si="306"/>
        <v>-1.4804273271713362</v>
      </c>
      <c r="N682" s="304">
        <f t="shared" ca="1" si="307"/>
        <v>-84.822237722750671</v>
      </c>
      <c r="P682" s="310">
        <f t="shared" ca="1" si="308"/>
        <v>23</v>
      </c>
      <c r="Q682" s="304">
        <f t="shared" ca="1" si="309"/>
        <v>0</v>
      </c>
      <c r="R682" s="306">
        <f t="shared" ca="1" si="310"/>
        <v>0</v>
      </c>
      <c r="S682" s="307">
        <f t="shared" ca="1" si="311"/>
        <v>7.4819999999999904</v>
      </c>
      <c r="T682" s="304">
        <f t="shared" ca="1" si="291"/>
        <v>73.398419999999916</v>
      </c>
      <c r="U682" s="311">
        <f t="shared" ca="1" si="292"/>
        <v>0</v>
      </c>
      <c r="V682" s="306">
        <f t="shared" ca="1" si="293"/>
        <v>1.1396633878525448</v>
      </c>
      <c r="W682" s="304">
        <f t="shared" ca="1" si="294"/>
        <v>37.606956639643194</v>
      </c>
      <c r="Y682" s="314" t="str">
        <f t="shared" ca="1" si="312"/>
        <v/>
      </c>
      <c r="Z682" s="315" t="str">
        <f t="shared" ca="1" si="313"/>
        <v/>
      </c>
      <c r="AA682" s="316" t="str">
        <f t="shared" ca="1" si="314"/>
        <v/>
      </c>
      <c r="AC682" s="310" t="e">
        <f t="shared" ca="1" si="315"/>
        <v>#N/A</v>
      </c>
      <c r="AD682" s="323" t="e">
        <f t="shared" ca="1" si="316"/>
        <v>#N/A</v>
      </c>
      <c r="AE682" s="324" t="e">
        <f t="shared" ca="1" si="295"/>
        <v>#N/A</v>
      </c>
      <c r="AG682" s="306">
        <f t="shared" ca="1" si="317"/>
        <v>4.7914965017876039</v>
      </c>
      <c r="AH682" s="304">
        <f t="shared" ca="1" si="318"/>
        <v>-4.9777629372298851</v>
      </c>
    </row>
    <row r="683" spans="1:34" x14ac:dyDescent="0.2">
      <c r="A683" s="347">
        <f t="shared" ca="1" si="296"/>
        <v>0.1</v>
      </c>
      <c r="B683" s="304">
        <f t="shared" ca="1" si="297"/>
        <v>31.900000000000141</v>
      </c>
      <c r="D683" s="306">
        <f t="shared" ca="1" si="298"/>
        <v>-0.45360588896077686</v>
      </c>
      <c r="E683" s="307">
        <f t="shared" ca="1" si="299"/>
        <v>-4.804185852015137</v>
      </c>
      <c r="F683" s="304">
        <f t="shared" ca="1" si="300"/>
        <v>4.8255528184035352</v>
      </c>
      <c r="G683" s="306">
        <f t="shared" ca="1" si="301"/>
        <v>10.037100236583948</v>
      </c>
      <c r="H683" s="307">
        <f t="shared" ca="1" si="302"/>
        <v>-111.74644549310015</v>
      </c>
      <c r="I683" s="304">
        <f t="shared" ca="1" si="303"/>
        <v>112.196307699949</v>
      </c>
      <c r="J683" s="306">
        <f t="shared" ca="1" si="304"/>
        <v>464.615273125035</v>
      </c>
      <c r="K683" s="307">
        <f t="shared" ca="1" si="305"/>
        <v>710.61478777707066</v>
      </c>
      <c r="L683" s="304">
        <f t="shared" ca="1" si="290"/>
        <v>849.02339698532569</v>
      </c>
      <c r="M683" s="306">
        <f t="shared" ca="1" si="306"/>
        <v>-1.4812164029022632</v>
      </c>
      <c r="N683" s="304">
        <f t="shared" ca="1" si="307"/>
        <v>-84.867448431848985</v>
      </c>
      <c r="P683" s="310">
        <f t="shared" ca="1" si="308"/>
        <v>23</v>
      </c>
      <c r="Q683" s="304">
        <f t="shared" ca="1" si="309"/>
        <v>0</v>
      </c>
      <c r="R683" s="306">
        <f t="shared" ca="1" si="310"/>
        <v>0</v>
      </c>
      <c r="S683" s="307">
        <f t="shared" ca="1" si="311"/>
        <v>7.4819999999999904</v>
      </c>
      <c r="T683" s="304">
        <f t="shared" ca="1" si="291"/>
        <v>73.398419999999916</v>
      </c>
      <c r="U683" s="311">
        <f t="shared" ca="1" si="292"/>
        <v>0</v>
      </c>
      <c r="V683" s="306">
        <f t="shared" ca="1" si="293"/>
        <v>1.1409365258881006</v>
      </c>
      <c r="W683" s="304">
        <f t="shared" ca="1" si="294"/>
        <v>37.969380999563668</v>
      </c>
      <c r="Y683" s="314" t="str">
        <f t="shared" ca="1" si="312"/>
        <v/>
      </c>
      <c r="Z683" s="315" t="str">
        <f t="shared" ca="1" si="313"/>
        <v/>
      </c>
      <c r="AA683" s="316" t="str">
        <f t="shared" ca="1" si="314"/>
        <v/>
      </c>
      <c r="AC683" s="310" t="e">
        <f t="shared" ca="1" si="315"/>
        <v>#N/A</v>
      </c>
      <c r="AD683" s="323" t="e">
        <f t="shared" ca="1" si="316"/>
        <v>#N/A</v>
      </c>
      <c r="AE683" s="324" t="e">
        <f t="shared" ca="1" si="295"/>
        <v>#N/A</v>
      </c>
      <c r="AG683" s="306">
        <f t="shared" ca="1" si="317"/>
        <v>4.7436462325231554</v>
      </c>
      <c r="AH683" s="304">
        <f t="shared" ca="1" si="318"/>
        <v>-5.0263240630370545</v>
      </c>
    </row>
    <row r="684" spans="1:34" x14ac:dyDescent="0.2">
      <c r="A684" s="347">
        <f t="shared" ca="1" si="296"/>
        <v>0.1</v>
      </c>
      <c r="B684" s="304">
        <f t="shared" ca="1" si="297"/>
        <v>32.000000000000142</v>
      </c>
      <c r="D684" s="306">
        <f t="shared" ca="1" si="298"/>
        <v>-0.45398918762506457</v>
      </c>
      <c r="E684" s="307">
        <f t="shared" ca="1" si="299"/>
        <v>-4.7555842012526082</v>
      </c>
      <c r="F684" s="304">
        <f t="shared" ca="1" si="300"/>
        <v>4.7772049650066171</v>
      </c>
      <c r="G684" s="306">
        <f t="shared" ca="1" si="301"/>
        <v>9.9917013178214411</v>
      </c>
      <c r="H684" s="307">
        <f t="shared" ca="1" si="302"/>
        <v>-112.22200391322542</v>
      </c>
      <c r="I684" s="304">
        <f t="shared" ca="1" si="303"/>
        <v>112.66593210693522</v>
      </c>
      <c r="J684" s="306">
        <f t="shared" ca="1" si="304"/>
        <v>465.61671320275525</v>
      </c>
      <c r="K684" s="307">
        <f t="shared" ca="1" si="305"/>
        <v>699.41636530675441</v>
      </c>
      <c r="L684" s="304">
        <f t="shared" ca="1" si="290"/>
        <v>840.22745472440261</v>
      </c>
      <c r="M684" s="306">
        <f t="shared" ca="1" si="306"/>
        <v>-1.4819953467180669</v>
      </c>
      <c r="N684" s="304">
        <f t="shared" ca="1" si="307"/>
        <v>-84.912078624972352</v>
      </c>
      <c r="P684" s="310">
        <f t="shared" ca="1" si="308"/>
        <v>23</v>
      </c>
      <c r="Q684" s="304">
        <f t="shared" ca="1" si="309"/>
        <v>0</v>
      </c>
      <c r="R684" s="306">
        <f t="shared" ca="1" si="310"/>
        <v>0</v>
      </c>
      <c r="S684" s="307">
        <f t="shared" ca="1" si="311"/>
        <v>7.4819999999999904</v>
      </c>
      <c r="T684" s="304">
        <f t="shared" ca="1" si="291"/>
        <v>73.398419999999916</v>
      </c>
      <c r="U684" s="311">
        <f t="shared" ca="1" si="292"/>
        <v>0</v>
      </c>
      <c r="V684" s="306">
        <f t="shared" ca="1" si="293"/>
        <v>1.1422165019167605</v>
      </c>
      <c r="W684" s="304">
        <f t="shared" ca="1" si="294"/>
        <v>38.330859877176003</v>
      </c>
      <c r="Y684" s="314" t="str">
        <f t="shared" ca="1" si="312"/>
        <v/>
      </c>
      <c r="Z684" s="315" t="str">
        <f t="shared" ca="1" si="313"/>
        <v/>
      </c>
      <c r="AA684" s="316" t="str">
        <f t="shared" ca="1" si="314"/>
        <v/>
      </c>
      <c r="AC684" s="310">
        <f t="shared" ca="1" si="315"/>
        <v>32.000000000000142</v>
      </c>
      <c r="AD684" s="323">
        <f t="shared" ca="1" si="316"/>
        <v>465.61671320275525</v>
      </c>
      <c r="AE684" s="324" t="e">
        <f t="shared" ca="1" si="295"/>
        <v>#N/A</v>
      </c>
      <c r="AG684" s="306">
        <f t="shared" ca="1" si="317"/>
        <v>4.6959022676540743</v>
      </c>
      <c r="AH684" s="304">
        <f t="shared" ca="1" si="318"/>
        <v>-5.0747635658331616</v>
      </c>
    </row>
    <row r="685" spans="1:34" x14ac:dyDescent="0.2">
      <c r="A685" s="347">
        <f t="shared" ca="1" si="296"/>
        <v>0.1</v>
      </c>
      <c r="B685" s="304">
        <f t="shared" ca="1" si="297"/>
        <v>32.100000000000144</v>
      </c>
      <c r="D685" s="306">
        <f t="shared" ca="1" si="298"/>
        <v>-0.45433656179660509</v>
      </c>
      <c r="E685" s="307">
        <f t="shared" ca="1" si="299"/>
        <v>-4.7071093316291233</v>
      </c>
      <c r="F685" s="304">
        <f t="shared" ca="1" si="300"/>
        <v>4.7289850889271294</v>
      </c>
      <c r="G685" s="306">
        <f t="shared" ca="1" si="301"/>
        <v>9.9462676616417802</v>
      </c>
      <c r="H685" s="307">
        <f t="shared" ca="1" si="302"/>
        <v>-112.69271484638833</v>
      </c>
      <c r="I685" s="304">
        <f t="shared" ca="1" si="303"/>
        <v>113.13079253610138</v>
      </c>
      <c r="J685" s="306">
        <f t="shared" ca="1" si="304"/>
        <v>466.61361165172843</v>
      </c>
      <c r="K685" s="307">
        <f t="shared" ca="1" si="305"/>
        <v>688.17062936877369</v>
      </c>
      <c r="L685" s="304">
        <f t="shared" ca="1" si="290"/>
        <v>831.44878236995703</v>
      </c>
      <c r="M685" s="306">
        <f t="shared" ca="1" si="306"/>
        <v>-1.4827643621408011</v>
      </c>
      <c r="N685" s="304">
        <f t="shared" ca="1" si="307"/>
        <v>-84.956139963075486</v>
      </c>
      <c r="P685" s="310">
        <f t="shared" ca="1" si="308"/>
        <v>23</v>
      </c>
      <c r="Q685" s="304">
        <f t="shared" ca="1" si="309"/>
        <v>0</v>
      </c>
      <c r="R685" s="306">
        <f t="shared" ca="1" si="310"/>
        <v>0</v>
      </c>
      <c r="S685" s="307">
        <f t="shared" ca="1" si="311"/>
        <v>7.4819999999999904</v>
      </c>
      <c r="T685" s="304">
        <f t="shared" ca="1" si="291"/>
        <v>73.398419999999916</v>
      </c>
      <c r="U685" s="311">
        <f t="shared" ca="1" si="292"/>
        <v>0</v>
      </c>
      <c r="V685" s="306">
        <f t="shared" ca="1" si="293"/>
        <v>1.1435032803451437</v>
      </c>
      <c r="W685" s="304">
        <f t="shared" ca="1" si="294"/>
        <v>38.691358403622957</v>
      </c>
      <c r="Y685" s="314" t="str">
        <f t="shared" ca="1" si="312"/>
        <v/>
      </c>
      <c r="Z685" s="315" t="str">
        <f t="shared" ca="1" si="313"/>
        <v/>
      </c>
      <c r="AA685" s="316" t="str">
        <f t="shared" ca="1" si="314"/>
        <v/>
      </c>
      <c r="AC685" s="310" t="e">
        <f t="shared" ca="1" si="315"/>
        <v>#N/A</v>
      </c>
      <c r="AD685" s="323" t="e">
        <f t="shared" ca="1" si="316"/>
        <v>#N/A</v>
      </c>
      <c r="AE685" s="324" t="e">
        <f t="shared" ca="1" si="295"/>
        <v>#N/A</v>
      </c>
      <c r="AG685" s="306">
        <f t="shared" ca="1" si="317"/>
        <v>4.6482697725676489</v>
      </c>
      <c r="AH685" s="304">
        <f t="shared" ca="1" si="318"/>
        <v>-5.1230767010393015</v>
      </c>
    </row>
    <row r="686" spans="1:34" x14ac:dyDescent="0.2">
      <c r="A686" s="347">
        <f t="shared" ca="1" si="296"/>
        <v>0.1</v>
      </c>
      <c r="B686" s="304">
        <f t="shared" ca="1" si="297"/>
        <v>32.200000000000145</v>
      </c>
      <c r="D686" s="306">
        <f t="shared" ca="1" si="298"/>
        <v>-0.45464831547483292</v>
      </c>
      <c r="E686" s="307">
        <f t="shared" ca="1" si="299"/>
        <v>-4.6587659176126577</v>
      </c>
      <c r="F686" s="304">
        <f t="shared" ca="1" si="300"/>
        <v>4.6808978803081587</v>
      </c>
      <c r="G686" s="306">
        <f t="shared" ca="1" si="301"/>
        <v>9.9008028300942961</v>
      </c>
      <c r="H686" s="307">
        <f t="shared" ca="1" si="302"/>
        <v>-113.1585914381496</v>
      </c>
      <c r="I686" s="304">
        <f t="shared" ca="1" si="303"/>
        <v>113.59090066086485</v>
      </c>
      <c r="J686" s="306">
        <f t="shared" ca="1" si="304"/>
        <v>467.60596517631524</v>
      </c>
      <c r="K686" s="307">
        <f t="shared" ca="1" si="305"/>
        <v>676.87806405454683</v>
      </c>
      <c r="L686" s="304">
        <f t="shared" ca="1" si="290"/>
        <v>822.69025293041159</v>
      </c>
      <c r="M686" s="306">
        <f t="shared" ca="1" si="306"/>
        <v>-1.4835236471380315</v>
      </c>
      <c r="N686" s="304">
        <f t="shared" ca="1" si="307"/>
        <v>-84.99964378886439</v>
      </c>
      <c r="P686" s="310">
        <f t="shared" ca="1" si="308"/>
        <v>23</v>
      </c>
      <c r="Q686" s="304">
        <f t="shared" ca="1" si="309"/>
        <v>0</v>
      </c>
      <c r="R686" s="306">
        <f t="shared" ca="1" si="310"/>
        <v>0</v>
      </c>
      <c r="S686" s="307">
        <f t="shared" ca="1" si="311"/>
        <v>7.4819999999999904</v>
      </c>
      <c r="T686" s="304">
        <f t="shared" ca="1" si="291"/>
        <v>73.398419999999916</v>
      </c>
      <c r="U686" s="311">
        <f t="shared" ca="1" si="292"/>
        <v>0</v>
      </c>
      <c r="V686" s="306">
        <f t="shared" ca="1" si="293"/>
        <v>1.1447968256234688</v>
      </c>
      <c r="W686" s="304">
        <f t="shared" ca="1" si="294"/>
        <v>39.050842341248774</v>
      </c>
      <c r="Y686" s="314" t="str">
        <f t="shared" ca="1" si="312"/>
        <v/>
      </c>
      <c r="Z686" s="315" t="str">
        <f t="shared" ca="1" si="313"/>
        <v/>
      </c>
      <c r="AA686" s="316" t="str">
        <f t="shared" ca="1" si="314"/>
        <v/>
      </c>
      <c r="AC686" s="310" t="e">
        <f t="shared" ca="1" si="315"/>
        <v>#N/A</v>
      </c>
      <c r="AD686" s="323" t="e">
        <f t="shared" ca="1" si="316"/>
        <v>#N/A</v>
      </c>
      <c r="AE686" s="324" t="e">
        <f t="shared" ca="1" si="295"/>
        <v>#N/A</v>
      </c>
      <c r="AG686" s="306">
        <f t="shared" ca="1" si="317"/>
        <v>4.6007538140942064</v>
      </c>
      <c r="AH686" s="304">
        <f t="shared" ca="1" si="318"/>
        <v>-5.1712588082896289</v>
      </c>
    </row>
    <row r="687" spans="1:34" x14ac:dyDescent="0.2">
      <c r="A687" s="347">
        <f t="shared" ca="1" si="296"/>
        <v>0.1</v>
      </c>
      <c r="B687" s="304">
        <f t="shared" ca="1" si="297"/>
        <v>32.300000000000146</v>
      </c>
      <c r="D687" s="306">
        <f t="shared" ca="1" si="298"/>
        <v>-0.45492475629106988</v>
      </c>
      <c r="E687" s="307">
        <f t="shared" ca="1" si="299"/>
        <v>-4.6105585490736756</v>
      </c>
      <c r="F687" s="304">
        <f t="shared" ca="1" si="300"/>
        <v>4.6329479457816971</v>
      </c>
      <c r="G687" s="306">
        <f t="shared" ca="1" si="301"/>
        <v>9.855310354465189</v>
      </c>
      <c r="H687" s="307">
        <f t="shared" ca="1" si="302"/>
        <v>-113.61964729305697</v>
      </c>
      <c r="I687" s="304">
        <f t="shared" ca="1" si="303"/>
        <v>114.04626865084845</v>
      </c>
      <c r="J687" s="306">
        <f t="shared" ca="1" si="304"/>
        <v>468.59377083554324</v>
      </c>
      <c r="K687" s="307">
        <f t="shared" ca="1" si="305"/>
        <v>665.53915211798653</v>
      </c>
      <c r="L687" s="304">
        <f t="shared" ca="1" si="290"/>
        <v>813.95484215514193</v>
      </c>
      <c r="M687" s="306">
        <f t="shared" ca="1" si="306"/>
        <v>-1.4842733943097792</v>
      </c>
      <c r="N687" s="304">
        <f t="shared" ca="1" si="307"/>
        <v>-85.042601137507404</v>
      </c>
      <c r="P687" s="310">
        <f t="shared" ca="1" si="308"/>
        <v>23</v>
      </c>
      <c r="Q687" s="304">
        <f t="shared" ca="1" si="309"/>
        <v>0</v>
      </c>
      <c r="R687" s="306">
        <f t="shared" ca="1" si="310"/>
        <v>0</v>
      </c>
      <c r="S687" s="307">
        <f t="shared" ca="1" si="311"/>
        <v>7.4819999999999904</v>
      </c>
      <c r="T687" s="304">
        <f t="shared" ca="1" si="291"/>
        <v>73.398419999999916</v>
      </c>
      <c r="U687" s="311">
        <f t="shared" ca="1" si="292"/>
        <v>0</v>
      </c>
      <c r="V687" s="306">
        <f t="shared" ca="1" si="293"/>
        <v>1.1460971022489894</v>
      </c>
      <c r="W687" s="304">
        <f t="shared" ca="1" si="294"/>
        <v>39.409278084454073</v>
      </c>
      <c r="Y687" s="314" t="str">
        <f t="shared" ca="1" si="312"/>
        <v/>
      </c>
      <c r="Z687" s="315" t="str">
        <f t="shared" ca="1" si="313"/>
        <v/>
      </c>
      <c r="AA687" s="316" t="str">
        <f t="shared" ca="1" si="314"/>
        <v/>
      </c>
      <c r="AC687" s="310" t="e">
        <f t="shared" ca="1" si="315"/>
        <v>#N/A</v>
      </c>
      <c r="AD687" s="323" t="e">
        <f t="shared" ca="1" si="316"/>
        <v>#N/A</v>
      </c>
      <c r="AE687" s="324" t="e">
        <f t="shared" ca="1" si="295"/>
        <v>#N/A</v>
      </c>
      <c r="AG687" s="306">
        <f t="shared" ca="1" si="317"/>
        <v>4.553359360939778</v>
      </c>
      <c r="AH687" s="304">
        <f t="shared" ca="1" si="318"/>
        <v>-5.2193053115809711</v>
      </c>
    </row>
    <row r="688" spans="1:34" x14ac:dyDescent="0.2">
      <c r="A688" s="347">
        <f t="shared" ca="1" si="296"/>
        <v>0.1</v>
      </c>
      <c r="B688" s="304">
        <f t="shared" ca="1" si="297"/>
        <v>32.400000000000148</v>
      </c>
      <c r="D688" s="306">
        <f t="shared" ca="1" si="298"/>
        <v>-0.45516619536372432</v>
      </c>
      <c r="E688" s="307">
        <f t="shared" ca="1" si="299"/>
        <v>-4.5624917311692892</v>
      </c>
      <c r="F688" s="304">
        <f t="shared" ca="1" si="300"/>
        <v>4.5851398083798953</v>
      </c>
      <c r="G688" s="306">
        <f t="shared" ca="1" si="301"/>
        <v>9.8097937349288173</v>
      </c>
      <c r="H688" s="307">
        <f t="shared" ca="1" si="302"/>
        <v>-114.0758964661739</v>
      </c>
      <c r="I688" s="304">
        <f t="shared" ca="1" si="303"/>
        <v>114.49690916213885</v>
      </c>
      <c r="J688" s="306">
        <f t="shared" ca="1" si="304"/>
        <v>469.57702604001292</v>
      </c>
      <c r="K688" s="307">
        <f t="shared" ca="1" si="305"/>
        <v>654.15437493002503</v>
      </c>
      <c r="L688" s="304">
        <f t="shared" ca="1" si="290"/>
        <v>805.24563309879227</v>
      </c>
      <c r="M688" s="306">
        <f t="shared" ca="1" si="306"/>
        <v>-1.4850137910680032</v>
      </c>
      <c r="N688" s="304">
        <f t="shared" ca="1" si="307"/>
        <v>-85.08502274691881</v>
      </c>
      <c r="P688" s="310">
        <f t="shared" ca="1" si="308"/>
        <v>23</v>
      </c>
      <c r="Q688" s="304">
        <f t="shared" ca="1" si="309"/>
        <v>0</v>
      </c>
      <c r="R688" s="306">
        <f t="shared" ca="1" si="310"/>
        <v>0</v>
      </c>
      <c r="S688" s="307">
        <f t="shared" ca="1" si="311"/>
        <v>7.4819999999999904</v>
      </c>
      <c r="T688" s="304">
        <f t="shared" ca="1" si="291"/>
        <v>73.398419999999916</v>
      </c>
      <c r="U688" s="311">
        <f t="shared" ca="1" si="292"/>
        <v>0</v>
      </c>
      <c r="V688" s="306">
        <f t="shared" ca="1" si="293"/>
        <v>1.1474040747693894</v>
      </c>
      <c r="W688" s="304">
        <f t="shared" ca="1" si="294"/>
        <v>39.766632660290611</v>
      </c>
      <c r="Y688" s="314" t="str">
        <f t="shared" ca="1" si="312"/>
        <v/>
      </c>
      <c r="Z688" s="315" t="str">
        <f t="shared" ca="1" si="313"/>
        <v/>
      </c>
      <c r="AA688" s="316" t="str">
        <f t="shared" ca="1" si="314"/>
        <v/>
      </c>
      <c r="AC688" s="310" t="e">
        <f t="shared" ca="1" si="315"/>
        <v>#N/A</v>
      </c>
      <c r="AD688" s="323" t="e">
        <f t="shared" ca="1" si="316"/>
        <v>#N/A</v>
      </c>
      <c r="AE688" s="324" t="e">
        <f t="shared" ca="1" si="295"/>
        <v>#N/A</v>
      </c>
      <c r="AG688" s="306">
        <f t="shared" ca="1" si="317"/>
        <v>4.5060912841268115</v>
      </c>
      <c r="AH688" s="304">
        <f t="shared" ca="1" si="318"/>
        <v>-5.2672117193870784</v>
      </c>
    </row>
    <row r="689" spans="1:34" x14ac:dyDescent="0.2">
      <c r="A689" s="347">
        <f t="shared" ca="1" si="296"/>
        <v>0.1</v>
      </c>
      <c r="B689" s="304">
        <f t="shared" ca="1" si="297"/>
        <v>32.500000000000149</v>
      </c>
      <c r="D689" s="306">
        <f t="shared" ca="1" si="298"/>
        <v>-0.455372947154707</v>
      </c>
      <c r="E689" s="307">
        <f t="shared" ca="1" si="299"/>
        <v>-4.514569884262321</v>
      </c>
      <c r="F689" s="304">
        <f t="shared" ca="1" si="300"/>
        <v>4.5374779074821587</v>
      </c>
      <c r="G689" s="306">
        <f t="shared" ca="1" si="301"/>
        <v>9.7642564402133463</v>
      </c>
      <c r="H689" s="307">
        <f t="shared" ca="1" si="302"/>
        <v>-114.52735345460013</v>
      </c>
      <c r="I689" s="304">
        <f t="shared" ca="1" si="303"/>
        <v>114.94283532758863</v>
      </c>
      <c r="J689" s="306">
        <f t="shared" ca="1" si="304"/>
        <v>470.55572854877005</v>
      </c>
      <c r="K689" s="307">
        <f t="shared" ca="1" si="305"/>
        <v>642.72421243398628</v>
      </c>
      <c r="L689" s="304">
        <f t="shared" ca="1" si="290"/>
        <v>796.5658208327493</v>
      </c>
      <c r="M689" s="306">
        <f t="shared" ca="1" si="306"/>
        <v>-1.4857450198089672</v>
      </c>
      <c r="N689" s="304">
        <f t="shared" ca="1" si="307"/>
        <v>-85.126919067634716</v>
      </c>
      <c r="P689" s="310">
        <f t="shared" ca="1" si="308"/>
        <v>23</v>
      </c>
      <c r="Q689" s="304">
        <f t="shared" ca="1" si="309"/>
        <v>0</v>
      </c>
      <c r="R689" s="306">
        <f t="shared" ca="1" si="310"/>
        <v>0</v>
      </c>
      <c r="S689" s="307">
        <f t="shared" ca="1" si="311"/>
        <v>7.4819999999999904</v>
      </c>
      <c r="T689" s="304">
        <f t="shared" ca="1" si="291"/>
        <v>73.398419999999916</v>
      </c>
      <c r="U689" s="311">
        <f t="shared" ca="1" si="292"/>
        <v>0</v>
      </c>
      <c r="V689" s="306">
        <f t="shared" ca="1" si="293"/>
        <v>1.1487177077861277</v>
      </c>
      <c r="W689" s="304">
        <f t="shared" ca="1" si="294"/>
        <v>40.122873728799966</v>
      </c>
      <c r="Y689" s="314" t="str">
        <f t="shared" ca="1" si="312"/>
        <v/>
      </c>
      <c r="Z689" s="315" t="str">
        <f t="shared" ca="1" si="313"/>
        <v/>
      </c>
      <c r="AA689" s="316" t="str">
        <f t="shared" ca="1" si="314"/>
        <v/>
      </c>
      <c r="AC689" s="310" t="e">
        <f t="shared" ca="1" si="315"/>
        <v>#N/A</v>
      </c>
      <c r="AD689" s="323" t="e">
        <f t="shared" ca="1" si="316"/>
        <v>#N/A</v>
      </c>
      <c r="AE689" s="324" t="e">
        <f t="shared" ca="1" si="295"/>
        <v>#N/A</v>
      </c>
      <c r="AG689" s="306">
        <f t="shared" ca="1" si="317"/>
        <v>4.4589543574437567</v>
      </c>
      <c r="AH689" s="304">
        <f t="shared" ca="1" si="318"/>
        <v>-5.3149736247381263</v>
      </c>
    </row>
    <row r="690" spans="1:34" x14ac:dyDescent="0.2">
      <c r="A690" s="347">
        <f t="shared" ca="1" si="296"/>
        <v>0.1</v>
      </c>
      <c r="B690" s="304">
        <f t="shared" ca="1" si="297"/>
        <v>32.600000000000151</v>
      </c>
      <c r="D690" s="306">
        <f t="shared" ca="1" si="298"/>
        <v>-0.45554532932708969</v>
      </c>
      <c r="E690" s="307">
        <f t="shared" ca="1" si="299"/>
        <v>-4.4667973438747763</v>
      </c>
      <c r="F690" s="304">
        <f t="shared" ca="1" si="300"/>
        <v>4.4899665987976443</v>
      </c>
      <c r="G690" s="306">
        <f t="shared" ca="1" si="301"/>
        <v>9.7187019072806375</v>
      </c>
      <c r="H690" s="307">
        <f t="shared" ca="1" si="302"/>
        <v>-114.9740331889876</v>
      </c>
      <c r="I690" s="304">
        <f t="shared" ca="1" si="303"/>
        <v>115.38406074716301</v>
      </c>
      <c r="J690" s="306">
        <f t="shared" ca="1" si="304"/>
        <v>471.52987646614474</v>
      </c>
      <c r="K690" s="307">
        <f t="shared" ca="1" si="305"/>
        <v>631.24914310180691</v>
      </c>
      <c r="L690" s="304">
        <f t="shared" ca="1" si="290"/>
        <v>787.91871729699585</v>
      </c>
      <c r="M690" s="306">
        <f t="shared" ca="1" si="306"/>
        <v>-1.4864672580788167</v>
      </c>
      <c r="N690" s="304">
        <f t="shared" ca="1" si="307"/>
        <v>-85.168300272299916</v>
      </c>
      <c r="P690" s="310">
        <f t="shared" ca="1" si="308"/>
        <v>23</v>
      </c>
      <c r="Q690" s="304">
        <f t="shared" ca="1" si="309"/>
        <v>0</v>
      </c>
      <c r="R690" s="306">
        <f t="shared" ca="1" si="310"/>
        <v>0</v>
      </c>
      <c r="S690" s="307">
        <f t="shared" ca="1" si="311"/>
        <v>7.4819999999999904</v>
      </c>
      <c r="T690" s="304">
        <f t="shared" ca="1" si="291"/>
        <v>73.398419999999916</v>
      </c>
      <c r="U690" s="311">
        <f t="shared" ca="1" si="292"/>
        <v>0</v>
      </c>
      <c r="V690" s="306">
        <f t="shared" ca="1" si="293"/>
        <v>1.1500379659577458</v>
      </c>
      <c r="W690" s="304">
        <f t="shared" ca="1" si="294"/>
        <v>40.477969583100958</v>
      </c>
      <c r="Y690" s="314" t="str">
        <f t="shared" ca="1" si="312"/>
        <v/>
      </c>
      <c r="Z690" s="315" t="str">
        <f t="shared" ca="1" si="313"/>
        <v/>
      </c>
      <c r="AA690" s="316" t="str">
        <f t="shared" ca="1" si="314"/>
        <v/>
      </c>
      <c r="AC690" s="310" t="e">
        <f t="shared" ca="1" si="315"/>
        <v>#N/A</v>
      </c>
      <c r="AD690" s="323" t="e">
        <f t="shared" ca="1" si="316"/>
        <v>#N/A</v>
      </c>
      <c r="AE690" s="324" t="e">
        <f t="shared" ca="1" si="295"/>
        <v>#N/A</v>
      </c>
      <c r="AG690" s="306">
        <f t="shared" ca="1" si="317"/>
        <v>4.4119532579044076</v>
      </c>
      <c r="AH690" s="304">
        <f t="shared" ca="1" si="318"/>
        <v>-5.3625867052659739</v>
      </c>
    </row>
    <row r="691" spans="1:34" x14ac:dyDescent="0.2">
      <c r="A691" s="347">
        <f t="shared" ca="1" si="296"/>
        <v>0.1</v>
      </c>
      <c r="B691" s="304">
        <f t="shared" ca="1" si="297"/>
        <v>32.700000000000152</v>
      </c>
      <c r="D691" s="306">
        <f t="shared" ca="1" si="298"/>
        <v>-0.4556836626040483</v>
      </c>
      <c r="E691" s="307">
        <f t="shared" ca="1" si="299"/>
        <v>-4.4191783606750317</v>
      </c>
      <c r="F691" s="304">
        <f t="shared" ca="1" si="300"/>
        <v>4.4426101543825229</v>
      </c>
      <c r="G691" s="306">
        <f t="shared" ca="1" si="301"/>
        <v>9.673133541020233</v>
      </c>
      <c r="H691" s="307">
        <f t="shared" ca="1" si="302"/>
        <v>-115.41595102505511</v>
      </c>
      <c r="I691" s="304">
        <f t="shared" ca="1" si="303"/>
        <v>115.82059947833257</v>
      </c>
      <c r="J691" s="306">
        <f t="shared" ca="1" si="304"/>
        <v>472.49946823855981</v>
      </c>
      <c r="K691" s="307">
        <f t="shared" ca="1" si="305"/>
        <v>619.72964389110473</v>
      </c>
      <c r="L691" s="304">
        <f t="shared" ca="1" si="290"/>
        <v>779.30775628317554</v>
      </c>
      <c r="M691" s="306">
        <f t="shared" ca="1" si="306"/>
        <v>-1.4871806787326729</v>
      </c>
      <c r="N691" s="304">
        <f t="shared" ca="1" si="307"/>
        <v>-85.209176264783338</v>
      </c>
      <c r="P691" s="310">
        <f t="shared" ca="1" si="308"/>
        <v>23</v>
      </c>
      <c r="Q691" s="304">
        <f t="shared" ca="1" si="309"/>
        <v>0</v>
      </c>
      <c r="R691" s="306">
        <f t="shared" ca="1" si="310"/>
        <v>0</v>
      </c>
      <c r="S691" s="307">
        <f t="shared" ca="1" si="311"/>
        <v>7.4819999999999904</v>
      </c>
      <c r="T691" s="304">
        <f t="shared" ca="1" si="291"/>
        <v>73.398419999999916</v>
      </c>
      <c r="U691" s="311">
        <f t="shared" ca="1" si="292"/>
        <v>0</v>
      </c>
      <c r="V691" s="306">
        <f t="shared" ca="1" si="293"/>
        <v>1.151364814003125</v>
      </c>
      <c r="W691" s="304">
        <f t="shared" ca="1" si="294"/>
        <v>40.831889149229944</v>
      </c>
      <c r="Y691" s="314" t="str">
        <f t="shared" ca="1" si="312"/>
        <v/>
      </c>
      <c r="Z691" s="315" t="str">
        <f t="shared" ca="1" si="313"/>
        <v/>
      </c>
      <c r="AA691" s="316" t="str">
        <f t="shared" ca="1" si="314"/>
        <v/>
      </c>
      <c r="AC691" s="310" t="e">
        <f t="shared" ca="1" si="315"/>
        <v>#N/A</v>
      </c>
      <c r="AD691" s="323" t="e">
        <f t="shared" ca="1" si="316"/>
        <v>#N/A</v>
      </c>
      <c r="AE691" s="324" t="e">
        <f t="shared" ca="1" si="295"/>
        <v>#N/A</v>
      </c>
      <c r="AG691" s="306">
        <f t="shared" ca="1" si="317"/>
        <v>4.3650925662175926</v>
      </c>
      <c r="AH691" s="304">
        <f t="shared" ca="1" si="318"/>
        <v>-5.4100467232158529</v>
      </c>
    </row>
    <row r="692" spans="1:34" x14ac:dyDescent="0.2">
      <c r="A692" s="347">
        <f t="shared" ca="1" si="296"/>
        <v>0.1</v>
      </c>
      <c r="B692" s="304">
        <f t="shared" ca="1" si="297"/>
        <v>32.800000000000153</v>
      </c>
      <c r="D692" s="306">
        <f t="shared" ca="1" si="298"/>
        <v>-0.4557882706291414</v>
      </c>
      <c r="E692" s="307">
        <f t="shared" ca="1" si="299"/>
        <v>-4.3717171004982118</v>
      </c>
      <c r="F692" s="304">
        <f t="shared" ca="1" si="300"/>
        <v>4.3954127626915307</v>
      </c>
      <c r="G692" s="306">
        <f t="shared" ca="1" si="301"/>
        <v>9.6275547139573181</v>
      </c>
      <c r="H692" s="307">
        <f t="shared" ca="1" si="302"/>
        <v>-115.85312273510493</v>
      </c>
      <c r="I692" s="304">
        <f t="shared" ca="1" si="303"/>
        <v>116.25246602651286</v>
      </c>
      <c r="J692" s="306">
        <f t="shared" ca="1" si="304"/>
        <v>473.46450265130869</v>
      </c>
      <c r="K692" s="307">
        <f t="shared" ca="1" si="305"/>
        <v>608.16619020309668</v>
      </c>
      <c r="L692" s="304">
        <f t="shared" ca="1" si="290"/>
        <v>770.73649853695144</v>
      </c>
      <c r="M692" s="306">
        <f t="shared" ca="1" si="306"/>
        <v>-1.4878854500875411</v>
      </c>
      <c r="N692" s="304">
        <f t="shared" ca="1" si="307"/>
        <v>-85.249556688939009</v>
      </c>
      <c r="P692" s="310">
        <f t="shared" ca="1" si="308"/>
        <v>23</v>
      </c>
      <c r="Q692" s="304">
        <f t="shared" ca="1" si="309"/>
        <v>0</v>
      </c>
      <c r="R692" s="306">
        <f t="shared" ca="1" si="310"/>
        <v>0</v>
      </c>
      <c r="S692" s="307">
        <f t="shared" ca="1" si="311"/>
        <v>7.4819999999999904</v>
      </c>
      <c r="T692" s="304">
        <f t="shared" ca="1" si="291"/>
        <v>73.398419999999916</v>
      </c>
      <c r="U692" s="311">
        <f t="shared" ca="1" si="292"/>
        <v>0</v>
      </c>
      <c r="V692" s="306">
        <f t="shared" ca="1" si="293"/>
        <v>1.1526982167047002</v>
      </c>
      <c r="W692" s="304">
        <f t="shared" ca="1" si="294"/>
        <v>41.184601985738659</v>
      </c>
      <c r="Y692" s="314" t="str">
        <f t="shared" ca="1" si="312"/>
        <v/>
      </c>
      <c r="Z692" s="315" t="str">
        <f t="shared" ca="1" si="313"/>
        <v/>
      </c>
      <c r="AA692" s="316" t="str">
        <f t="shared" ca="1" si="314"/>
        <v/>
      </c>
      <c r="AC692" s="310" t="e">
        <f t="shared" ca="1" si="315"/>
        <v>#N/A</v>
      </c>
      <c r="AD692" s="323" t="e">
        <f t="shared" ca="1" si="316"/>
        <v>#N/A</v>
      </c>
      <c r="AE692" s="324" t="e">
        <f t="shared" ca="1" si="295"/>
        <v>#N/A</v>
      </c>
      <c r="AG692" s="306">
        <f t="shared" ca="1" si="317"/>
        <v>4.3183767672678925</v>
      </c>
      <c r="AH692" s="304">
        <f t="shared" ca="1" si="318"/>
        <v>-5.4573495254250197</v>
      </c>
    </row>
    <row r="693" spans="1:34" x14ac:dyDescent="0.2">
      <c r="A693" s="347">
        <f t="shared" ca="1" si="296"/>
        <v>0.1</v>
      </c>
      <c r="B693" s="304">
        <f t="shared" ca="1" si="297"/>
        <v>32.900000000000155</v>
      </c>
      <c r="D693" s="306">
        <f t="shared" ca="1" si="298"/>
        <v>-0.45585947982793051</v>
      </c>
      <c r="E693" s="307">
        <f t="shared" ca="1" si="299"/>
        <v>-4.3244176443991176</v>
      </c>
      <c r="F693" s="304">
        <f t="shared" ca="1" si="300"/>
        <v>4.3483785286632308</v>
      </c>
      <c r="G693" s="306">
        <f t="shared" ca="1" si="301"/>
        <v>9.5819687659745245</v>
      </c>
      <c r="H693" s="307">
        <f t="shared" ca="1" si="302"/>
        <v>-116.28556449954485</v>
      </c>
      <c r="I693" s="304">
        <f t="shared" ca="1" si="303"/>
        <v>116.6796753355524</v>
      </c>
      <c r="J693" s="306">
        <f t="shared" ca="1" si="304"/>
        <v>474.42497882530529</v>
      </c>
      <c r="K693" s="307">
        <f t="shared" ca="1" si="305"/>
        <v>596.55925584136423</v>
      </c>
      <c r="L693" s="304">
        <f t="shared" ca="1" si="290"/>
        <v>762.208636964574</v>
      </c>
      <c r="M693" s="306">
        <f t="shared" ca="1" si="306"/>
        <v>-1.4885817360693065</v>
      </c>
      <c r="N693" s="304">
        <f t="shared" ca="1" si="307"/>
        <v>-85.289450937028292</v>
      </c>
      <c r="P693" s="310">
        <f t="shared" ca="1" si="308"/>
        <v>23</v>
      </c>
      <c r="Q693" s="304">
        <f t="shared" ca="1" si="309"/>
        <v>0</v>
      </c>
      <c r="R693" s="306">
        <f t="shared" ca="1" si="310"/>
        <v>0</v>
      </c>
      <c r="S693" s="307">
        <f t="shared" ca="1" si="311"/>
        <v>7.4819999999999904</v>
      </c>
      <c r="T693" s="304">
        <f t="shared" ca="1" si="291"/>
        <v>73.398419999999916</v>
      </c>
      <c r="U693" s="311">
        <f t="shared" ca="1" si="292"/>
        <v>0</v>
      </c>
      <c r="V693" s="306">
        <f t="shared" ca="1" si="293"/>
        <v>1.1540381389116328</v>
      </c>
      <c r="W693" s="304">
        <f t="shared" ca="1" si="294"/>
        <v>41.536078283054614</v>
      </c>
      <c r="Y693" s="314" t="str">
        <f t="shared" ca="1" si="312"/>
        <v/>
      </c>
      <c r="Z693" s="315" t="str">
        <f t="shared" ca="1" si="313"/>
        <v/>
      </c>
      <c r="AA693" s="316" t="str">
        <f t="shared" ca="1" si="314"/>
        <v/>
      </c>
      <c r="AC693" s="310" t="e">
        <f t="shared" ca="1" si="315"/>
        <v>#N/A</v>
      </c>
      <c r="AD693" s="323" t="e">
        <f t="shared" ca="1" si="316"/>
        <v>#N/A</v>
      </c>
      <c r="AE693" s="324" t="e">
        <f t="shared" ca="1" si="295"/>
        <v>#N/A</v>
      </c>
      <c r="AG693" s="306">
        <f t="shared" ca="1" si="317"/>
        <v>4.2718102506079054</v>
      </c>
      <c r="AH693" s="304">
        <f t="shared" ca="1" si="318"/>
        <v>-5.5044910432690068</v>
      </c>
    </row>
    <row r="694" spans="1:34" x14ac:dyDescent="0.2">
      <c r="A694" s="347">
        <f t="shared" ca="1" si="296"/>
        <v>0.1</v>
      </c>
      <c r="B694" s="304">
        <f t="shared" ca="1" si="297"/>
        <v>33.000000000000156</v>
      </c>
      <c r="D694" s="306">
        <f t="shared" ca="1" si="298"/>
        <v>-0.45589761927101902</v>
      </c>
      <c r="E694" s="307">
        <f t="shared" ca="1" si="299"/>
        <v>-4.277283988737028</v>
      </c>
      <c r="F694" s="304">
        <f t="shared" ca="1" si="300"/>
        <v>4.3015114738383673</v>
      </c>
      <c r="G694" s="306">
        <f t="shared" ca="1" si="301"/>
        <v>9.5363790040474221</v>
      </c>
      <c r="H694" s="307">
        <f t="shared" ca="1" si="302"/>
        <v>-116.71329289841854</v>
      </c>
      <c r="I694" s="304">
        <f t="shared" ca="1" si="303"/>
        <v>117.10224277826994</v>
      </c>
      <c r="J694" s="306">
        <f t="shared" ca="1" si="304"/>
        <v>475.38089621380641</v>
      </c>
      <c r="K694" s="307">
        <f t="shared" ca="1" si="305"/>
        <v>584.90931297146608</v>
      </c>
      <c r="L694" s="304">
        <f t="shared" ca="1" si="290"/>
        <v>753.72800192496118</v>
      </c>
      <c r="M694" s="306">
        <f t="shared" ca="1" si="306"/>
        <v>-1.4892696963540872</v>
      </c>
      <c r="N694" s="304">
        <f t="shared" ca="1" si="307"/>
        <v>-85.328868157818846</v>
      </c>
      <c r="P694" s="310">
        <f t="shared" ca="1" si="308"/>
        <v>23</v>
      </c>
      <c r="Q694" s="304">
        <f t="shared" ca="1" si="309"/>
        <v>0</v>
      </c>
      <c r="R694" s="306">
        <f t="shared" ca="1" si="310"/>
        <v>0</v>
      </c>
      <c r="S694" s="307">
        <f t="shared" ca="1" si="311"/>
        <v>7.4819999999999904</v>
      </c>
      <c r="T694" s="304">
        <f t="shared" ca="1" si="291"/>
        <v>73.398419999999916</v>
      </c>
      <c r="U694" s="311">
        <f t="shared" ca="1" si="292"/>
        <v>0</v>
      </c>
      <c r="V694" s="306">
        <f t="shared" ca="1" si="293"/>
        <v>1.1553845455429295</v>
      </c>
      <c r="W694" s="304">
        <f t="shared" ca="1" si="294"/>
        <v>41.886288862607913</v>
      </c>
      <c r="Y694" s="314" t="str">
        <f t="shared" ca="1" si="312"/>
        <v/>
      </c>
      <c r="Z694" s="315" t="str">
        <f t="shared" ca="1" si="313"/>
        <v/>
      </c>
      <c r="AA694" s="316" t="str">
        <f t="shared" ca="1" si="314"/>
        <v/>
      </c>
      <c r="AC694" s="310">
        <f t="shared" ca="1" si="315"/>
        <v>33.000000000000156</v>
      </c>
      <c r="AD694" s="323">
        <f t="shared" ca="1" si="316"/>
        <v>475.38089621380641</v>
      </c>
      <c r="AE694" s="324" t="e">
        <f t="shared" ca="1" si="295"/>
        <v>#N/A</v>
      </c>
      <c r="AG694" s="306">
        <f t="shared" ca="1" si="317"/>
        <v>4.2253973109624354</v>
      </c>
      <c r="AH694" s="304">
        <f t="shared" ca="1" si="318"/>
        <v>-5.5514672925761381</v>
      </c>
    </row>
    <row r="695" spans="1:34" x14ac:dyDescent="0.2">
      <c r="A695" s="347">
        <f t="shared" ca="1" si="296"/>
        <v>0.1</v>
      </c>
      <c r="B695" s="304">
        <f t="shared" ca="1" si="297"/>
        <v>33.100000000000158</v>
      </c>
      <c r="D695" s="306">
        <f t="shared" ca="1" si="298"/>
        <v>-0.45590302053849396</v>
      </c>
      <c r="E695" s="307">
        <f t="shared" ca="1" si="299"/>
        <v>-4.2303200452918581</v>
      </c>
      <c r="F695" s="304">
        <f t="shared" ca="1" si="300"/>
        <v>4.254815536510864</v>
      </c>
      <c r="G695" s="306">
        <f t="shared" ca="1" si="301"/>
        <v>9.4907887019935728</v>
      </c>
      <c r="H695" s="307">
        <f t="shared" ca="1" si="302"/>
        <v>-117.13632490294773</v>
      </c>
      <c r="I695" s="304">
        <f t="shared" ca="1" si="303"/>
        <v>117.52018414704268</v>
      </c>
      <c r="J695" s="306">
        <f t="shared" ca="1" si="304"/>
        <v>476.33225459910847</v>
      </c>
      <c r="K695" s="307">
        <f t="shared" ca="1" si="305"/>
        <v>573.2168320813978</v>
      </c>
      <c r="L695" s="304">
        <f t="shared" ca="1" si="290"/>
        <v>745.29856658449523</v>
      </c>
      <c r="M695" s="306">
        <f t="shared" ca="1" si="306"/>
        <v>-1.489949486504188</v>
      </c>
      <c r="N695" s="304">
        <f t="shared" ca="1" si="307"/>
        <v>-85.367817264374182</v>
      </c>
      <c r="P695" s="310">
        <f t="shared" ca="1" si="308"/>
        <v>23</v>
      </c>
      <c r="Q695" s="304">
        <f t="shared" ca="1" si="309"/>
        <v>0</v>
      </c>
      <c r="R695" s="306">
        <f t="shared" ca="1" si="310"/>
        <v>0</v>
      </c>
      <c r="S695" s="307">
        <f t="shared" ca="1" si="311"/>
        <v>7.4819999999999904</v>
      </c>
      <c r="T695" s="304">
        <f t="shared" ca="1" si="291"/>
        <v>73.398419999999916</v>
      </c>
      <c r="U695" s="311">
        <f t="shared" ca="1" si="292"/>
        <v>0</v>
      </c>
      <c r="V695" s="306">
        <f t="shared" ca="1" si="293"/>
        <v>1.156737401590525</v>
      </c>
      <c r="W695" s="304">
        <f t="shared" ca="1" si="294"/>
        <v>42.235205175730144</v>
      </c>
      <c r="Y695" s="314" t="str">
        <f t="shared" ca="1" si="312"/>
        <v/>
      </c>
      <c r="Z695" s="315" t="str">
        <f t="shared" ca="1" si="313"/>
        <v/>
      </c>
      <c r="AA695" s="316" t="str">
        <f t="shared" ca="1" si="314"/>
        <v/>
      </c>
      <c r="AC695" s="310" t="e">
        <f t="shared" ca="1" si="315"/>
        <v>#N/A</v>
      </c>
      <c r="AD695" s="323" t="e">
        <f t="shared" ca="1" si="316"/>
        <v>#N/A</v>
      </c>
      <c r="AE695" s="324" t="e">
        <f t="shared" ca="1" si="295"/>
        <v>#N/A</v>
      </c>
      <c r="AG695" s="306">
        <f t="shared" ca="1" si="317"/>
        <v>4.1791421487451457</v>
      </c>
      <c r="AH695" s="304">
        <f t="shared" ca="1" si="318"/>
        <v>-5.5982743735108214</v>
      </c>
    </row>
    <row r="696" spans="1:34" x14ac:dyDescent="0.2">
      <c r="A696" s="347">
        <f t="shared" ca="1" si="296"/>
        <v>0.1</v>
      </c>
      <c r="B696" s="304">
        <f t="shared" ca="1" si="297"/>
        <v>33.200000000000159</v>
      </c>
      <c r="D696" s="306">
        <f t="shared" ca="1" si="298"/>
        <v>-0.45587601758585877</v>
      </c>
      <c r="E696" s="307">
        <f t="shared" ca="1" si="299"/>
        <v>-4.1835296414109155</v>
      </c>
      <c r="F696" s="304">
        <f t="shared" ca="1" si="300"/>
        <v>4.2082945719107743</v>
      </c>
      <c r="G696" s="306">
        <f t="shared" ca="1" si="301"/>
        <v>9.4452011002349874</v>
      </c>
      <c r="H696" s="307">
        <f t="shared" ca="1" si="302"/>
        <v>-117.55467786708883</v>
      </c>
      <c r="I696" s="304">
        <f t="shared" ca="1" si="303"/>
        <v>117.93351564444649</v>
      </c>
      <c r="J696" s="306">
        <f t="shared" ca="1" si="304"/>
        <v>477.27905408921987</v>
      </c>
      <c r="K696" s="307">
        <f t="shared" ca="1" si="305"/>
        <v>561.48228194289595</v>
      </c>
      <c r="L696" s="304">
        <f t="shared" ca="1" si="290"/>
        <v>736.92445230708836</v>
      </c>
      <c r="M696" s="306">
        <f t="shared" ca="1" si="306"/>
        <v>-1.4906212580989016</v>
      </c>
      <c r="N696" s="304">
        <f t="shared" ca="1" si="307"/>
        <v>-85.406306941548038</v>
      </c>
      <c r="P696" s="310">
        <f t="shared" ca="1" si="308"/>
        <v>23</v>
      </c>
      <c r="Q696" s="304">
        <f t="shared" ca="1" si="309"/>
        <v>0</v>
      </c>
      <c r="R696" s="306">
        <f t="shared" ca="1" si="310"/>
        <v>0</v>
      </c>
      <c r="S696" s="307">
        <f t="shared" ca="1" si="311"/>
        <v>7.4819999999999904</v>
      </c>
      <c r="T696" s="304">
        <f t="shared" ca="1" si="291"/>
        <v>73.398419999999916</v>
      </c>
      <c r="U696" s="311">
        <f t="shared" ca="1" si="292"/>
        <v>0</v>
      </c>
      <c r="V696" s="306">
        <f t="shared" ca="1" si="293"/>
        <v>1.1580966721223123</v>
      </c>
      <c r="W696" s="304">
        <f t="shared" ca="1" si="294"/>
        <v>42.582799302329462</v>
      </c>
      <c r="Y696" s="314" t="str">
        <f t="shared" ca="1" si="312"/>
        <v/>
      </c>
      <c r="Z696" s="315" t="str">
        <f t="shared" ca="1" si="313"/>
        <v/>
      </c>
      <c r="AA696" s="316" t="str">
        <f t="shared" ca="1" si="314"/>
        <v/>
      </c>
      <c r="AC696" s="310" t="e">
        <f t="shared" ca="1" si="315"/>
        <v>#N/A</v>
      </c>
      <c r="AD696" s="323" t="e">
        <f t="shared" ca="1" si="316"/>
        <v>#N/A</v>
      </c>
      <c r="AE696" s="324" t="e">
        <f t="shared" ca="1" si="295"/>
        <v>#N/A</v>
      </c>
      <c r="AG696" s="306">
        <f t="shared" ca="1" si="317"/>
        <v>4.1330488705878246</v>
      </c>
      <c r="AH696" s="304">
        <f t="shared" ca="1" si="318"/>
        <v>-5.6449084704263832</v>
      </c>
    </row>
    <row r="697" spans="1:34" x14ac:dyDescent="0.2">
      <c r="A697" s="347">
        <f t="shared" ca="1" si="296"/>
        <v>0.1</v>
      </c>
      <c r="B697" s="304">
        <f t="shared" ca="1" si="297"/>
        <v>33.300000000000161</v>
      </c>
      <c r="D697" s="306">
        <f t="shared" ca="1" si="298"/>
        <v>-0.45581694661143202</v>
      </c>
      <c r="E697" s="307">
        <f t="shared" ca="1" si="299"/>
        <v>-4.1369165201856983</v>
      </c>
      <c r="F697" s="304">
        <f t="shared" ca="1" si="300"/>
        <v>4.1619523524186954</v>
      </c>
      <c r="G697" s="306">
        <f t="shared" ca="1" si="301"/>
        <v>9.3996194055738442</v>
      </c>
      <c r="H697" s="307">
        <f t="shared" ca="1" si="302"/>
        <v>-117.9683695191074</v>
      </c>
      <c r="I697" s="304">
        <f t="shared" ca="1" si="303"/>
        <v>118.34225387394946</v>
      </c>
      <c r="J697" s="306">
        <f t="shared" ca="1" si="304"/>
        <v>478.22129511451033</v>
      </c>
      <c r="K697" s="307">
        <f t="shared" ca="1" si="305"/>
        <v>549.70612957358617</v>
      </c>
      <c r="L697" s="304">
        <f t="shared" ca="1" si="290"/>
        <v>728.60993404686155</v>
      </c>
      <c r="M697" s="306">
        <f t="shared" ca="1" si="306"/>
        <v>-1.4912851588603739</v>
      </c>
      <c r="N697" s="304">
        <f t="shared" ca="1" si="307"/>
        <v>-85.444345653195924</v>
      </c>
      <c r="P697" s="310">
        <f t="shared" ca="1" si="308"/>
        <v>23</v>
      </c>
      <c r="Q697" s="304">
        <f t="shared" ca="1" si="309"/>
        <v>0</v>
      </c>
      <c r="R697" s="306">
        <f t="shared" ca="1" si="310"/>
        <v>0</v>
      </c>
      <c r="S697" s="307">
        <f t="shared" ca="1" si="311"/>
        <v>7.4819999999999904</v>
      </c>
      <c r="T697" s="304">
        <f t="shared" ca="1" si="291"/>
        <v>73.398419999999916</v>
      </c>
      <c r="U697" s="311">
        <f t="shared" ca="1" si="292"/>
        <v>0</v>
      </c>
      <c r="V697" s="306">
        <f t="shared" ca="1" si="293"/>
        <v>1.1594623222851299</v>
      </c>
      <c r="W697" s="304">
        <f t="shared" ca="1" si="294"/>
        <v>42.929043949346969</v>
      </c>
      <c r="Y697" s="314" t="str">
        <f t="shared" ca="1" si="312"/>
        <v/>
      </c>
      <c r="Z697" s="315" t="str">
        <f t="shared" ca="1" si="313"/>
        <v/>
      </c>
      <c r="AA697" s="316" t="str">
        <f t="shared" ca="1" si="314"/>
        <v/>
      </c>
      <c r="AC697" s="310" t="e">
        <f t="shared" ca="1" si="315"/>
        <v>#N/A</v>
      </c>
      <c r="AD697" s="323" t="e">
        <f t="shared" ca="1" si="316"/>
        <v>#N/A</v>
      </c>
      <c r="AE697" s="324" t="e">
        <f t="shared" ca="1" si="295"/>
        <v>#N/A</v>
      </c>
      <c r="AG697" s="306">
        <f t="shared" ca="1" si="317"/>
        <v>4.0871214898826409</v>
      </c>
      <c r="AH697" s="304">
        <f t="shared" ca="1" si="318"/>
        <v>-5.691365851687987</v>
      </c>
    </row>
    <row r="698" spans="1:34" x14ac:dyDescent="0.2">
      <c r="A698" s="347">
        <f t="shared" ca="1" si="296"/>
        <v>0.1</v>
      </c>
      <c r="B698" s="304">
        <f t="shared" ca="1" si="297"/>
        <v>33.400000000000162</v>
      </c>
      <c r="D698" s="306">
        <f t="shared" ca="1" si="298"/>
        <v>-0.45572614592529714</v>
      </c>
      <c r="E698" s="307">
        <f t="shared" ca="1" si="299"/>
        <v>-4.0904843406580484</v>
      </c>
      <c r="F698" s="304">
        <f t="shared" ca="1" si="300"/>
        <v>4.1157925678110452</v>
      </c>
      <c r="G698" s="306">
        <f t="shared" ca="1" si="301"/>
        <v>9.3540467909813145</v>
      </c>
      <c r="H698" s="307">
        <f t="shared" ca="1" si="302"/>
        <v>-118.37741795317321</v>
      </c>
      <c r="I698" s="304">
        <f t="shared" ca="1" si="303"/>
        <v>118.74641583066042</v>
      </c>
      <c r="J698" s="306">
        <f t="shared" ca="1" si="304"/>
        <v>479.1589784243381</v>
      </c>
      <c r="K698" s="307">
        <f t="shared" ca="1" si="305"/>
        <v>537.88884019997215</v>
      </c>
      <c r="L698" s="304">
        <f t="shared" ca="1" si="290"/>
        <v>720.35944570493871</v>
      </c>
      <c r="M698" s="306">
        <f t="shared" ca="1" si="306"/>
        <v>-1.4919413327747586</v>
      </c>
      <c r="N698" s="304">
        <f t="shared" ca="1" si="307"/>
        <v>-85.481941649116749</v>
      </c>
      <c r="P698" s="310">
        <f t="shared" ca="1" si="308"/>
        <v>23</v>
      </c>
      <c r="Q698" s="304">
        <f t="shared" ca="1" si="309"/>
        <v>0</v>
      </c>
      <c r="R698" s="306">
        <f t="shared" ca="1" si="310"/>
        <v>0</v>
      </c>
      <c r="S698" s="307">
        <f t="shared" ca="1" si="311"/>
        <v>7.4819999999999904</v>
      </c>
      <c r="T698" s="304">
        <f t="shared" ca="1" si="291"/>
        <v>73.398419999999916</v>
      </c>
      <c r="U698" s="311">
        <f t="shared" ca="1" si="292"/>
        <v>0</v>
      </c>
      <c r="V698" s="306">
        <f t="shared" ca="1" si="293"/>
        <v>1.1608343173077034</v>
      </c>
      <c r="W698" s="304">
        <f t="shared" ca="1" si="294"/>
        <v>43.273912448999297</v>
      </c>
      <c r="Y698" s="314" t="str">
        <f t="shared" ca="1" si="312"/>
        <v/>
      </c>
      <c r="Z698" s="315" t="str">
        <f t="shared" ca="1" si="313"/>
        <v/>
      </c>
      <c r="AA698" s="316" t="str">
        <f t="shared" ca="1" si="314"/>
        <v/>
      </c>
      <c r="AC698" s="310" t="e">
        <f t="shared" ca="1" si="315"/>
        <v>#N/A</v>
      </c>
      <c r="AD698" s="323" t="e">
        <f t="shared" ca="1" si="316"/>
        <v>#N/A</v>
      </c>
      <c r="AE698" s="324" t="e">
        <f t="shared" ca="1" si="295"/>
        <v>#N/A</v>
      </c>
      <c r="AG698" s="306">
        <f t="shared" ca="1" si="317"/>
        <v>4.0413639273375708</v>
      </c>
      <c r="AH698" s="304">
        <f t="shared" ca="1" si="318"/>
        <v>-5.7376428694663222</v>
      </c>
    </row>
    <row r="699" spans="1:34" x14ac:dyDescent="0.2">
      <c r="A699" s="347">
        <f t="shared" ca="1" si="296"/>
        <v>0.1</v>
      </c>
      <c r="B699" s="304">
        <f t="shared" ca="1" si="297"/>
        <v>33.500000000000163</v>
      </c>
      <c r="D699" s="306">
        <f t="shared" ca="1" si="298"/>
        <v>-0.45560395581978141</v>
      </c>
      <c r="E699" s="307">
        <f t="shared" ca="1" si="299"/>
        <v>-4.044236678055003</v>
      </c>
      <c r="F699" s="304">
        <f t="shared" ca="1" si="300"/>
        <v>4.069818825535604</v>
      </c>
      <c r="G699" s="306">
        <f t="shared" ca="1" si="301"/>
        <v>9.3084863953993366</v>
      </c>
      <c r="H699" s="307">
        <f t="shared" ca="1" si="302"/>
        <v>-118.78184162097871</v>
      </c>
      <c r="I699" s="304">
        <f t="shared" ca="1" si="303"/>
        <v>119.14601889213338</v>
      </c>
      <c r="J699" s="306">
        <f t="shared" ca="1" si="304"/>
        <v>480.09210508365715</v>
      </c>
      <c r="K699" s="307">
        <f t="shared" ca="1" si="305"/>
        <v>526.03087722126452</v>
      </c>
      <c r="L699" s="304">
        <f t="shared" ca="1" si="290"/>
        <v>712.17758540537511</v>
      </c>
      <c r="M699" s="306">
        <f t="shared" ca="1" si="306"/>
        <v>-1.4925899202088542</v>
      </c>
      <c r="N699" s="304">
        <f t="shared" ca="1" si="307"/>
        <v>-85.519102971735649</v>
      </c>
      <c r="P699" s="310">
        <f t="shared" ca="1" si="308"/>
        <v>23</v>
      </c>
      <c r="Q699" s="304">
        <f t="shared" ca="1" si="309"/>
        <v>0</v>
      </c>
      <c r="R699" s="306">
        <f t="shared" ca="1" si="310"/>
        <v>0</v>
      </c>
      <c r="S699" s="307">
        <f t="shared" ca="1" si="311"/>
        <v>7.4819999999999904</v>
      </c>
      <c r="T699" s="304">
        <f t="shared" ca="1" si="291"/>
        <v>73.398419999999916</v>
      </c>
      <c r="U699" s="311">
        <f t="shared" ca="1" si="292"/>
        <v>0</v>
      </c>
      <c r="V699" s="306">
        <f t="shared" ca="1" si="293"/>
        <v>1.1622126225035396</v>
      </c>
      <c r="W699" s="304">
        <f t="shared" ca="1" si="294"/>
        <v>43.617378756812137</v>
      </c>
      <c r="Y699" s="314" t="str">
        <f t="shared" ca="1" si="312"/>
        <v/>
      </c>
      <c r="Z699" s="315" t="str">
        <f t="shared" ca="1" si="313"/>
        <v/>
      </c>
      <c r="AA699" s="316" t="str">
        <f t="shared" ca="1" si="314"/>
        <v/>
      </c>
      <c r="AC699" s="310" t="e">
        <f t="shared" ca="1" si="315"/>
        <v>#N/A</v>
      </c>
      <c r="AD699" s="323" t="e">
        <f t="shared" ca="1" si="316"/>
        <v>#N/A</v>
      </c>
      <c r="AE699" s="324" t="e">
        <f t="shared" ca="1" si="295"/>
        <v>#N/A</v>
      </c>
      <c r="AG699" s="306">
        <f t="shared" ca="1" si="317"/>
        <v>3.9957800115450999</v>
      </c>
      <c r="AH699" s="304">
        <f t="shared" ca="1" si="318"/>
        <v>-5.78373595950272</v>
      </c>
    </row>
    <row r="700" spans="1:34" x14ac:dyDescent="0.2">
      <c r="A700" s="347">
        <f t="shared" ca="1" si="296"/>
        <v>0.1</v>
      </c>
      <c r="B700" s="304">
        <f t="shared" ca="1" si="297"/>
        <v>33.600000000000165</v>
      </c>
      <c r="D700" s="306">
        <f t="shared" ca="1" si="298"/>
        <v>-0.45545071844154084</v>
      </c>
      <c r="E700" s="307">
        <f t="shared" ca="1" si="299"/>
        <v>-3.9981770240517056</v>
      </c>
      <c r="F700" s="304">
        <f t="shared" ca="1" si="300"/>
        <v>4.0240346510167964</v>
      </c>
      <c r="G700" s="306">
        <f t="shared" ca="1" si="301"/>
        <v>9.2629413235551823</v>
      </c>
      <c r="H700" s="307">
        <f t="shared" ca="1" si="302"/>
        <v>-119.18165932338388</v>
      </c>
      <c r="I700" s="304">
        <f t="shared" ca="1" si="303"/>
        <v>119.54108080922961</v>
      </c>
      <c r="J700" s="306">
        <f t="shared" ca="1" si="304"/>
        <v>481.02067646960489</v>
      </c>
      <c r="K700" s="307">
        <f t="shared" ca="1" si="305"/>
        <v>514.13270217404636</v>
      </c>
      <c r="L700" s="304">
        <f t="shared" ca="1" si="290"/>
        <v>704.06912063806851</v>
      </c>
      <c r="M700" s="306">
        <f t="shared" ca="1" si="306"/>
        <v>-1.4932310580224291</v>
      </c>
      <c r="N700" s="304">
        <f t="shared" ca="1" si="307"/>
        <v>-85.555837462539728</v>
      </c>
      <c r="P700" s="310">
        <f t="shared" ca="1" si="308"/>
        <v>23</v>
      </c>
      <c r="Q700" s="304">
        <f t="shared" ca="1" si="309"/>
        <v>0</v>
      </c>
      <c r="R700" s="306">
        <f t="shared" ca="1" si="310"/>
        <v>0</v>
      </c>
      <c r="S700" s="307">
        <f t="shared" ca="1" si="311"/>
        <v>7.4819999999999904</v>
      </c>
      <c r="T700" s="304">
        <f t="shared" ca="1" si="291"/>
        <v>73.398419999999916</v>
      </c>
      <c r="U700" s="311">
        <f t="shared" ca="1" si="292"/>
        <v>0</v>
      </c>
      <c r="V700" s="306">
        <f t="shared" ca="1" si="293"/>
        <v>1.1635972032737742</v>
      </c>
      <c r="W700" s="304">
        <f t="shared" ca="1" si="294"/>
        <v>43.959417449449681</v>
      </c>
      <c r="Y700" s="314" t="str">
        <f t="shared" ca="1" si="312"/>
        <v/>
      </c>
      <c r="Z700" s="315" t="str">
        <f t="shared" ca="1" si="313"/>
        <v/>
      </c>
      <c r="AA700" s="316" t="str">
        <f t="shared" ca="1" si="314"/>
        <v/>
      </c>
      <c r="AC700" s="310" t="e">
        <f t="shared" ca="1" si="315"/>
        <v>#N/A</v>
      </c>
      <c r="AD700" s="323" t="e">
        <f t="shared" ca="1" si="316"/>
        <v>#N/A</v>
      </c>
      <c r="AE700" s="324" t="e">
        <f t="shared" ca="1" si="295"/>
        <v>#N/A</v>
      </c>
      <c r="AG700" s="306">
        <f t="shared" ca="1" si="317"/>
        <v>3.9503734795643597</v>
      </c>
      <c r="AH700" s="304">
        <f t="shared" ca="1" si="318"/>
        <v>-5.8296416408463232</v>
      </c>
    </row>
    <row r="701" spans="1:34" x14ac:dyDescent="0.2">
      <c r="A701" s="347">
        <f t="shared" ca="1" si="296"/>
        <v>0.1</v>
      </c>
      <c r="B701" s="304">
        <f t="shared" ca="1" si="297"/>
        <v>33.700000000000166</v>
      </c>
      <c r="D701" s="306">
        <f t="shared" ca="1" si="298"/>
        <v>-0.45526677766523027</v>
      </c>
      <c r="E701" s="307">
        <f t="shared" ca="1" si="299"/>
        <v>-3.9523087870617077</v>
      </c>
      <c r="F701" s="304">
        <f t="shared" ca="1" si="300"/>
        <v>3.9784434879901047</v>
      </c>
      <c r="G701" s="306">
        <f t="shared" ca="1" si="301"/>
        <v>9.2174146457886597</v>
      </c>
      <c r="H701" s="307">
        <f t="shared" ca="1" si="302"/>
        <v>-119.57689020209006</v>
      </c>
      <c r="I701" s="304">
        <f t="shared" ca="1" si="303"/>
        <v>119.93161969703861</v>
      </c>
      <c r="J701" s="306">
        <f t="shared" ca="1" si="304"/>
        <v>481.94469426807211</v>
      </c>
      <c r="K701" s="307">
        <f t="shared" ca="1" si="305"/>
        <v>502.19477469777269</v>
      </c>
      <c r="L701" s="304">
        <f t="shared" ca="1" si="290"/>
        <v>696.03899320863638</v>
      </c>
      <c r="M701" s="306">
        <f t="shared" ca="1" si="306"/>
        <v>-1.4938648796764094</v>
      </c>
      <c r="N701" s="304">
        <f t="shared" ca="1" si="307"/>
        <v>-85.592152768276804</v>
      </c>
      <c r="P701" s="310">
        <f t="shared" ca="1" si="308"/>
        <v>23</v>
      </c>
      <c r="Q701" s="304">
        <f t="shared" ca="1" si="309"/>
        <v>0</v>
      </c>
      <c r="R701" s="306">
        <f t="shared" ca="1" si="310"/>
        <v>0</v>
      </c>
      <c r="S701" s="307">
        <f t="shared" ca="1" si="311"/>
        <v>7.4819999999999904</v>
      </c>
      <c r="T701" s="304">
        <f t="shared" ca="1" si="291"/>
        <v>73.398419999999916</v>
      </c>
      <c r="U701" s="311">
        <f t="shared" ca="1" si="292"/>
        <v>0</v>
      </c>
      <c r="V701" s="306">
        <f t="shared" ca="1" si="293"/>
        <v>1.1649880251099765</v>
      </c>
      <c r="W701" s="304">
        <f t="shared" ca="1" si="294"/>
        <v>44.300003722345124</v>
      </c>
      <c r="Y701" s="314" t="str">
        <f t="shared" ca="1" si="312"/>
        <v/>
      </c>
      <c r="Z701" s="315" t="str">
        <f t="shared" ca="1" si="313"/>
        <v/>
      </c>
      <c r="AA701" s="316" t="str">
        <f t="shared" ca="1" si="314"/>
        <v/>
      </c>
      <c r="AC701" s="310" t="e">
        <f t="shared" ca="1" si="315"/>
        <v>#N/A</v>
      </c>
      <c r="AD701" s="323" t="e">
        <f t="shared" ca="1" si="316"/>
        <v>#N/A</v>
      </c>
      <c r="AE701" s="324" t="e">
        <f t="shared" ca="1" si="295"/>
        <v>#N/A</v>
      </c>
      <c r="AG701" s="306">
        <f t="shared" ca="1" si="317"/>
        <v>3.9051479775167381</v>
      </c>
      <c r="AH701" s="304">
        <f t="shared" ca="1" si="318"/>
        <v>-5.8753565155639853</v>
      </c>
    </row>
    <row r="702" spans="1:34" x14ac:dyDescent="0.2">
      <c r="A702" s="347">
        <f t="shared" ca="1" si="296"/>
        <v>0.1</v>
      </c>
      <c r="B702" s="304">
        <f t="shared" ca="1" si="297"/>
        <v>33.800000000000168</v>
      </c>
      <c r="D702" s="306">
        <f t="shared" ca="1" si="298"/>
        <v>-0.45505247896883233</v>
      </c>
      <c r="E702" s="307">
        <f t="shared" ca="1" si="299"/>
        <v>-3.9066352925539727</v>
      </c>
      <c r="F702" s="304">
        <f t="shared" ca="1" si="300"/>
        <v>3.9330486988650346</v>
      </c>
      <c r="G702" s="306">
        <f t="shared" ca="1" si="301"/>
        <v>9.1719093978917758</v>
      </c>
      <c r="H702" s="307">
        <f t="shared" ca="1" si="302"/>
        <v>-119.96755373134545</v>
      </c>
      <c r="I702" s="304">
        <f t="shared" ca="1" si="303"/>
        <v>120.31765402585937</v>
      </c>
      <c r="J702" s="306">
        <f t="shared" ca="1" si="304"/>
        <v>482.86416047025614</v>
      </c>
      <c r="K702" s="307">
        <f t="shared" ca="1" si="305"/>
        <v>490.2175525011009</v>
      </c>
      <c r="L702" s="304">
        <f t="shared" ca="1" si="290"/>
        <v>688.09232392667695</v>
      </c>
      <c r="M702" s="306">
        <f t="shared" ca="1" si="306"/>
        <v>-1.4944915153371134</v>
      </c>
      <c r="N702" s="304">
        <f t="shared" ca="1" si="307"/>
        <v>-85.628056346927536</v>
      </c>
      <c r="P702" s="310">
        <f t="shared" ca="1" si="308"/>
        <v>23</v>
      </c>
      <c r="Q702" s="304">
        <f t="shared" ca="1" si="309"/>
        <v>0</v>
      </c>
      <c r="R702" s="306">
        <f t="shared" ca="1" si="310"/>
        <v>0</v>
      </c>
      <c r="S702" s="307">
        <f t="shared" ca="1" si="311"/>
        <v>7.4819999999999904</v>
      </c>
      <c r="T702" s="304">
        <f t="shared" ca="1" si="291"/>
        <v>73.398419999999916</v>
      </c>
      <c r="U702" s="311">
        <f t="shared" ca="1" si="292"/>
        <v>0</v>
      </c>
      <c r="V702" s="306">
        <f t="shared" ca="1" si="293"/>
        <v>1.1663850535969007</v>
      </c>
      <c r="W702" s="304">
        <f t="shared" ca="1" si="294"/>
        <v>44.639113387136817</v>
      </c>
      <c r="Y702" s="314" t="str">
        <f t="shared" ca="1" si="312"/>
        <v/>
      </c>
      <c r="Z702" s="315" t="str">
        <f t="shared" ca="1" si="313"/>
        <v/>
      </c>
      <c r="AA702" s="316" t="str">
        <f t="shared" ca="1" si="314"/>
        <v/>
      </c>
      <c r="AC702" s="310" t="e">
        <f t="shared" ca="1" si="315"/>
        <v>#N/A</v>
      </c>
      <c r="AD702" s="323" t="e">
        <f t="shared" ca="1" si="316"/>
        <v>#N/A</v>
      </c>
      <c r="AE702" s="324" t="e">
        <f t="shared" ca="1" si="295"/>
        <v>#N/A</v>
      </c>
      <c r="AG702" s="306">
        <f t="shared" ca="1" si="317"/>
        <v>3.8601070611949559</v>
      </c>
      <c r="AH702" s="304">
        <f t="shared" ca="1" si="318"/>
        <v>-5.920877268423574</v>
      </c>
    </row>
    <row r="703" spans="1:34" x14ac:dyDescent="0.2">
      <c r="A703" s="347">
        <f t="shared" ca="1" si="296"/>
        <v>0.1</v>
      </c>
      <c r="B703" s="304">
        <f t="shared" ca="1" si="297"/>
        <v>33.900000000000169</v>
      </c>
      <c r="D703" s="306">
        <f t="shared" ca="1" si="298"/>
        <v>-0.45480816931062334</v>
      </c>
      <c r="E703" s="307">
        <f t="shared" ca="1" si="299"/>
        <v>-3.861159783395963</v>
      </c>
      <c r="F703" s="304">
        <f t="shared" ca="1" si="300"/>
        <v>3.8878535651161092</v>
      </c>
      <c r="G703" s="306">
        <f t="shared" ca="1" si="301"/>
        <v>9.1264285809607131</v>
      </c>
      <c r="H703" s="307">
        <f t="shared" ca="1" si="302"/>
        <v>-120.35366970968505</v>
      </c>
      <c r="I703" s="304">
        <f t="shared" ca="1" si="303"/>
        <v>120.69920261224321</v>
      </c>
      <c r="J703" s="306">
        <f t="shared" ca="1" si="304"/>
        <v>483.77907736919877</v>
      </c>
      <c r="K703" s="307">
        <f t="shared" ca="1" si="305"/>
        <v>478.20149132904936</v>
      </c>
      <c r="L703" s="304">
        <f t="shared" ca="1" si="290"/>
        <v>680.23441695456722</v>
      </c>
      <c r="M703" s="306">
        <f t="shared" ca="1" si="306"/>
        <v>-1.4951110919766943</v>
      </c>
      <c r="N703" s="304">
        <f t="shared" ca="1" si="307"/>
        <v>-85.66355547346042</v>
      </c>
      <c r="P703" s="310">
        <f t="shared" ca="1" si="308"/>
        <v>23</v>
      </c>
      <c r="Q703" s="304">
        <f t="shared" ca="1" si="309"/>
        <v>0</v>
      </c>
      <c r="R703" s="306">
        <f t="shared" ca="1" si="310"/>
        <v>0</v>
      </c>
      <c r="S703" s="307">
        <f t="shared" ca="1" si="311"/>
        <v>7.4819999999999904</v>
      </c>
      <c r="T703" s="304">
        <f t="shared" ca="1" si="291"/>
        <v>73.398419999999916</v>
      </c>
      <c r="U703" s="311">
        <f t="shared" ca="1" si="292"/>
        <v>0</v>
      </c>
      <c r="V703" s="306">
        <f t="shared" ca="1" si="293"/>
        <v>1.1677882544152012</v>
      </c>
      <c r="W703" s="304">
        <f t="shared" ca="1" si="294"/>
        <v>44.976722868915566</v>
      </c>
      <c r="Y703" s="314" t="str">
        <f t="shared" ca="1" si="312"/>
        <v/>
      </c>
      <c r="Z703" s="315" t="str">
        <f t="shared" ca="1" si="313"/>
        <v/>
      </c>
      <c r="AA703" s="316" t="str">
        <f t="shared" ca="1" si="314"/>
        <v/>
      </c>
      <c r="AC703" s="310" t="e">
        <f t="shared" ca="1" si="315"/>
        <v>#N/A</v>
      </c>
      <c r="AD703" s="323" t="e">
        <f t="shared" ca="1" si="316"/>
        <v>#N/A</v>
      </c>
      <c r="AE703" s="324" t="e">
        <f t="shared" ca="1" si="295"/>
        <v>#N/A</v>
      </c>
      <c r="AG703" s="306">
        <f t="shared" ca="1" si="317"/>
        <v>3.8152541966856104</v>
      </c>
      <c r="AH703" s="304">
        <f t="shared" ca="1" si="318"/>
        <v>-5.9662006665513063</v>
      </c>
    </row>
    <row r="704" spans="1:34" x14ac:dyDescent="0.2">
      <c r="A704" s="347">
        <f t="shared" ca="1" si="296"/>
        <v>0.1</v>
      </c>
      <c r="B704" s="304">
        <f t="shared" ca="1" si="297"/>
        <v>34.000000000000171</v>
      </c>
      <c r="D704" s="306">
        <f t="shared" ca="1" si="298"/>
        <v>-0.4545341970078412</v>
      </c>
      <c r="E704" s="307">
        <f t="shared" ca="1" si="299"/>
        <v>-3.8158854202220711</v>
      </c>
      <c r="F704" s="304">
        <f t="shared" ca="1" si="300"/>
        <v>3.8428612877012531</v>
      </c>
      <c r="G704" s="306">
        <f t="shared" ca="1" si="301"/>
        <v>9.0809751612599285</v>
      </c>
      <c r="H704" s="307">
        <f t="shared" ca="1" si="302"/>
        <v>-120.73525825170725</v>
      </c>
      <c r="I704" s="304">
        <f t="shared" ca="1" si="303"/>
        <v>121.07628461009969</v>
      </c>
      <c r="J704" s="306">
        <f t="shared" ca="1" si="304"/>
        <v>484.6894475563098</v>
      </c>
      <c r="K704" s="307">
        <f t="shared" ca="1" si="305"/>
        <v>466.14704493097975</v>
      </c>
      <c r="L704" s="304">
        <f t="shared" ca="1" si="290"/>
        <v>672.47076372904542</v>
      </c>
      <c r="M704" s="306">
        <f t="shared" ca="1" si="306"/>
        <v>-1.4957237334699549</v>
      </c>
      <c r="N704" s="304">
        <f t="shared" ca="1" si="307"/>
        <v>-85.698657245378854</v>
      </c>
      <c r="P704" s="310">
        <f t="shared" ca="1" si="308"/>
        <v>23</v>
      </c>
      <c r="Q704" s="304">
        <f t="shared" ca="1" si="309"/>
        <v>0</v>
      </c>
      <c r="R704" s="306">
        <f t="shared" ca="1" si="310"/>
        <v>0</v>
      </c>
      <c r="S704" s="307">
        <f t="shared" ca="1" si="311"/>
        <v>7.4819999999999904</v>
      </c>
      <c r="T704" s="304">
        <f t="shared" ca="1" si="291"/>
        <v>73.398419999999916</v>
      </c>
      <c r="U704" s="311">
        <f t="shared" ca="1" si="292"/>
        <v>0</v>
      </c>
      <c r="V704" s="306">
        <f t="shared" ca="1" si="293"/>
        <v>1.1691975933440897</v>
      </c>
      <c r="W704" s="304">
        <f t="shared" ca="1" si="294"/>
        <v>45.312809203287415</v>
      </c>
      <c r="Y704" s="314" t="str">
        <f t="shared" ca="1" si="312"/>
        <v/>
      </c>
      <c r="Z704" s="315" t="str">
        <f t="shared" ca="1" si="313"/>
        <v/>
      </c>
      <c r="AA704" s="316" t="str">
        <f t="shared" ca="1" si="314"/>
        <v/>
      </c>
      <c r="AC704" s="310">
        <f t="shared" ca="1" si="315"/>
        <v>34.000000000000171</v>
      </c>
      <c r="AD704" s="323">
        <f t="shared" ca="1" si="316"/>
        <v>484.6894475563098</v>
      </c>
      <c r="AE704" s="324" t="e">
        <f t="shared" ca="1" si="295"/>
        <v>#N/A</v>
      </c>
      <c r="AG704" s="306">
        <f t="shared" ca="1" si="317"/>
        <v>3.770592761005112</v>
      </c>
      <c r="AH704" s="304">
        <f t="shared" ca="1" si="318"/>
        <v>-6.0113235590638361</v>
      </c>
    </row>
    <row r="705" spans="1:34" x14ac:dyDescent="0.2">
      <c r="A705" s="347">
        <f t="shared" ca="1" si="296"/>
        <v>0.1</v>
      </c>
      <c r="B705" s="304">
        <f t="shared" ca="1" si="297"/>
        <v>34.100000000000172</v>
      </c>
      <c r="D705" s="306">
        <f t="shared" ca="1" si="298"/>
        <v>-0.45423091161703538</v>
      </c>
      <c r="E705" s="307">
        <f t="shared" ca="1" si="299"/>
        <v>-3.770815281826815</v>
      </c>
      <c r="F705" s="304">
        <f t="shared" ca="1" si="300"/>
        <v>3.7980749875071038</v>
      </c>
      <c r="G705" s="306">
        <f t="shared" ca="1" si="301"/>
        <v>9.035552070098225</v>
      </c>
      <c r="H705" s="307">
        <f t="shared" ca="1" si="302"/>
        <v>-121.11233977988994</v>
      </c>
      <c r="I705" s="304">
        <f t="shared" ca="1" si="303"/>
        <v>121.44891950186698</v>
      </c>
      <c r="J705" s="306">
        <f t="shared" ca="1" si="304"/>
        <v>485.59527391787771</v>
      </c>
      <c r="K705" s="307">
        <f t="shared" ca="1" si="305"/>
        <v>454.05466502939987</v>
      </c>
      <c r="L705" s="304">
        <f t="shared" ca="1" si="290"/>
        <v>664.80704635731649</v>
      </c>
      <c r="M705" s="306">
        <f t="shared" ca="1" si="306"/>
        <v>-1.4963295606876814</v>
      </c>
      <c r="N705" s="304">
        <f t="shared" ca="1" si="307"/>
        <v>-85.733368588068728</v>
      </c>
      <c r="P705" s="310">
        <f t="shared" ca="1" si="308"/>
        <v>23</v>
      </c>
      <c r="Q705" s="304">
        <f t="shared" ca="1" si="309"/>
        <v>0</v>
      </c>
      <c r="R705" s="306">
        <f t="shared" ca="1" si="310"/>
        <v>0</v>
      </c>
      <c r="S705" s="307">
        <f t="shared" ca="1" si="311"/>
        <v>7.4819999999999904</v>
      </c>
      <c r="T705" s="304">
        <f t="shared" ca="1" si="291"/>
        <v>73.398419999999916</v>
      </c>
      <c r="U705" s="311">
        <f t="shared" ca="1" si="292"/>
        <v>0</v>
      </c>
      <c r="V705" s="306">
        <f t="shared" ca="1" si="293"/>
        <v>1.1706130362639555</v>
      </c>
      <c r="W705" s="304">
        <f t="shared" ca="1" si="294"/>
        <v>45.647350033257716</v>
      </c>
      <c r="Y705" s="314" t="str">
        <f t="shared" ca="1" si="312"/>
        <v/>
      </c>
      <c r="Z705" s="315" t="str">
        <f t="shared" ca="1" si="313"/>
        <v/>
      </c>
      <c r="AA705" s="316" t="str">
        <f t="shared" ca="1" si="314"/>
        <v/>
      </c>
      <c r="AC705" s="310" t="e">
        <f t="shared" ca="1" si="315"/>
        <v>#N/A</v>
      </c>
      <c r="AD705" s="323" t="e">
        <f t="shared" ca="1" si="316"/>
        <v>#N/A</v>
      </c>
      <c r="AE705" s="324" t="e">
        <f t="shared" ca="1" si="295"/>
        <v>#N/A</v>
      </c>
      <c r="AG705" s="306">
        <f t="shared" ca="1" si="317"/>
        <v>3.7261260427489313</v>
      </c>
      <c r="AH705" s="304">
        <f t="shared" ca="1" si="318"/>
        <v>-6.0562428766756851</v>
      </c>
    </row>
    <row r="706" spans="1:34" x14ac:dyDescent="0.2">
      <c r="A706" s="347">
        <f t="shared" ca="1" si="296"/>
        <v>0.1</v>
      </c>
      <c r="B706" s="304">
        <f t="shared" ca="1" si="297"/>
        <v>34.200000000000173</v>
      </c>
      <c r="D706" s="306">
        <f t="shared" ca="1" si="298"/>
        <v>-0.45389866381616656</v>
      </c>
      <c r="E706" s="307">
        <f t="shared" ca="1" si="299"/>
        <v>-3.7259523655820237</v>
      </c>
      <c r="F706" s="304">
        <f t="shared" ca="1" si="300"/>
        <v>3.7534977058205832</v>
      </c>
      <c r="G706" s="306">
        <f t="shared" ca="1" si="301"/>
        <v>8.9901622037166078</v>
      </c>
      <c r="H706" s="307">
        <f t="shared" ca="1" si="302"/>
        <v>-121.48493501644813</v>
      </c>
      <c r="I706" s="304">
        <f t="shared" ca="1" si="303"/>
        <v>121.81712708974777</v>
      </c>
      <c r="J706" s="306">
        <f t="shared" ca="1" si="304"/>
        <v>486.49655963156846</v>
      </c>
      <c r="K706" s="307">
        <f t="shared" ca="1" si="305"/>
        <v>441.92480128958294</v>
      </c>
      <c r="L706" s="304">
        <f t="shared" ca="1" si="290"/>
        <v>657.24914037843337</v>
      </c>
      <c r="M706" s="306">
        <f t="shared" ca="1" si="306"/>
        <v>-1.4969286915866471</v>
      </c>
      <c r="N706" s="304">
        <f t="shared" ca="1" si="307"/>
        <v>-85.767696259955343</v>
      </c>
      <c r="P706" s="310">
        <f t="shared" ca="1" si="308"/>
        <v>23</v>
      </c>
      <c r="Q706" s="304">
        <f t="shared" ca="1" si="309"/>
        <v>0</v>
      </c>
      <c r="R706" s="306">
        <f t="shared" ca="1" si="310"/>
        <v>0</v>
      </c>
      <c r="S706" s="307">
        <f t="shared" ca="1" si="311"/>
        <v>7.4819999999999904</v>
      </c>
      <c r="T706" s="304">
        <f t="shared" ca="1" si="291"/>
        <v>73.398419999999916</v>
      </c>
      <c r="U706" s="311">
        <f t="shared" ca="1" si="292"/>
        <v>0</v>
      </c>
      <c r="V706" s="306">
        <f t="shared" ca="1" si="293"/>
        <v>1.1720345491589337</v>
      </c>
      <c r="W706" s="304">
        <f t="shared" ca="1" si="294"/>
        <v>45.98032360594074</v>
      </c>
      <c r="Y706" s="314" t="str">
        <f t="shared" ca="1" si="312"/>
        <v/>
      </c>
      <c r="Z706" s="315" t="str">
        <f t="shared" ca="1" si="313"/>
        <v/>
      </c>
      <c r="AA706" s="316" t="str">
        <f t="shared" ca="1" si="314"/>
        <v/>
      </c>
      <c r="AC706" s="310" t="e">
        <f t="shared" ca="1" si="315"/>
        <v>#N/A</v>
      </c>
      <c r="AD706" s="323" t="e">
        <f t="shared" ca="1" si="316"/>
        <v>#N/A</v>
      </c>
      <c r="AE706" s="324" t="e">
        <f t="shared" ca="1" si="295"/>
        <v>#N/A</v>
      </c>
      <c r="AG706" s="306">
        <f t="shared" ca="1" si="317"/>
        <v>3.6818572427539937</v>
      </c>
      <c r="AH706" s="304">
        <f t="shared" ca="1" si="318"/>
        <v>-6.1009556312827815</v>
      </c>
    </row>
    <row r="707" spans="1:34" x14ac:dyDescent="0.2">
      <c r="A707" s="347">
        <f t="shared" ca="1" si="296"/>
        <v>0.1</v>
      </c>
      <c r="B707" s="304">
        <f t="shared" ca="1" si="297"/>
        <v>34.300000000000175</v>
      </c>
      <c r="D707" s="306">
        <f t="shared" ca="1" si="298"/>
        <v>-0.45353780528842469</v>
      </c>
      <c r="E707" s="307">
        <f t="shared" ca="1" si="299"/>
        <v>-3.6812995878774162</v>
      </c>
      <c r="F707" s="304">
        <f t="shared" ca="1" si="300"/>
        <v>3.7091324048262653</v>
      </c>
      <c r="G707" s="306">
        <f t="shared" ca="1" si="301"/>
        <v>8.9448084231877658</v>
      </c>
      <c r="H707" s="307">
        <f t="shared" ca="1" si="302"/>
        <v>-121.85306497523588</v>
      </c>
      <c r="I707" s="304">
        <f t="shared" ca="1" si="303"/>
        <v>122.18092748701243</v>
      </c>
      <c r="J707" s="306">
        <f t="shared" ca="1" si="304"/>
        <v>487.39330816291368</v>
      </c>
      <c r="K707" s="307">
        <f t="shared" ca="1" si="305"/>
        <v>429.75790128999876</v>
      </c>
      <c r="L707" s="304">
        <f t="shared" ca="1" si="290"/>
        <v>649.80311676935901</v>
      </c>
      <c r="M707" s="306">
        <f t="shared" ca="1" si="306"/>
        <v>-1.4975212412964158</v>
      </c>
      <c r="N707" s="304">
        <f t="shared" ca="1" si="307"/>
        <v>-85.801646857476797</v>
      </c>
      <c r="P707" s="310">
        <f t="shared" ca="1" si="308"/>
        <v>23</v>
      </c>
      <c r="Q707" s="304">
        <f t="shared" ca="1" si="309"/>
        <v>0</v>
      </c>
      <c r="R707" s="306">
        <f t="shared" ca="1" si="310"/>
        <v>0</v>
      </c>
      <c r="S707" s="307">
        <f t="shared" ca="1" si="311"/>
        <v>7.4819999999999904</v>
      </c>
      <c r="T707" s="304">
        <f t="shared" ca="1" si="291"/>
        <v>73.398419999999916</v>
      </c>
      <c r="U707" s="311">
        <f t="shared" ca="1" si="292"/>
        <v>0</v>
      </c>
      <c r="V707" s="306">
        <f t="shared" ca="1" si="293"/>
        <v>1.1734620981194295</v>
      </c>
      <c r="W707" s="304">
        <f t="shared" ca="1" si="294"/>
        <v>46.311708769100449</v>
      </c>
      <c r="Y707" s="314" t="str">
        <f t="shared" ca="1" si="312"/>
        <v/>
      </c>
      <c r="Z707" s="315" t="str">
        <f t="shared" ca="1" si="313"/>
        <v/>
      </c>
      <c r="AA707" s="316" t="str">
        <f t="shared" ca="1" si="314"/>
        <v/>
      </c>
      <c r="AC707" s="310" t="e">
        <f t="shared" ca="1" si="315"/>
        <v>#N/A</v>
      </c>
      <c r="AD707" s="323" t="e">
        <f t="shared" ca="1" si="316"/>
        <v>#N/A</v>
      </c>
      <c r="AE707" s="324" t="e">
        <f t="shared" ca="1" si="295"/>
        <v>#N/A</v>
      </c>
      <c r="AG707" s="306">
        <f t="shared" ca="1" si="317"/>
        <v>3.6377894747741104</v>
      </c>
      <c r="AH707" s="304">
        <f t="shared" ca="1" si="318"/>
        <v>-6.1454589155226946</v>
      </c>
    </row>
    <row r="708" spans="1:34" x14ac:dyDescent="0.2">
      <c r="A708" s="347">
        <f t="shared" ca="1" si="296"/>
        <v>0.1</v>
      </c>
      <c r="B708" s="304">
        <f t="shared" ca="1" si="297"/>
        <v>34.400000000000176</v>
      </c>
      <c r="D708" s="306">
        <f t="shared" ca="1" si="298"/>
        <v>-0.45314868860783453</v>
      </c>
      <c r="E708" s="307">
        <f t="shared" ca="1" si="299"/>
        <v>-3.6368597845838693</v>
      </c>
      <c r="F708" s="304">
        <f t="shared" ca="1" si="300"/>
        <v>3.6649819681289606</v>
      </c>
      <c r="G708" s="306">
        <f t="shared" ca="1" si="301"/>
        <v>8.8994935543269822</v>
      </c>
      <c r="H708" s="307">
        <f t="shared" ca="1" si="302"/>
        <v>-122.21675095369427</v>
      </c>
      <c r="I708" s="304">
        <f t="shared" ca="1" si="303"/>
        <v>122.54034110937035</v>
      </c>
      <c r="J708" s="306">
        <f t="shared" ca="1" si="304"/>
        <v>488.28552326178942</v>
      </c>
      <c r="K708" s="307">
        <f t="shared" ca="1" si="305"/>
        <v>417.55441049355227</v>
      </c>
      <c r="L708" s="304">
        <f t="shared" ref="L708:L771" ca="1" si="319">SQRT(pos_x^2+pos_z^2)</f>
        <v>642.47524306361993</v>
      </c>
      <c r="M708" s="306">
        <f t="shared" ca="1" si="306"/>
        <v>-1.4981073222030854</v>
      </c>
      <c r="N708" s="304">
        <f t="shared" ca="1" si="307"/>
        <v>-85.835226819882152</v>
      </c>
      <c r="P708" s="310">
        <f t="shared" ca="1" si="308"/>
        <v>23</v>
      </c>
      <c r="Q708" s="304">
        <f t="shared" ca="1" si="309"/>
        <v>0</v>
      </c>
      <c r="R708" s="306">
        <f t="shared" ca="1" si="310"/>
        <v>0</v>
      </c>
      <c r="S708" s="307">
        <f t="shared" ca="1" si="311"/>
        <v>7.4819999999999904</v>
      </c>
      <c r="T708" s="304">
        <f t="shared" ref="T708:T771" ca="1" si="320">m*g</f>
        <v>73.398419999999916</v>
      </c>
      <c r="U708" s="311">
        <f t="shared" ref="U708:U771" ca="1" si="321">IF(pos_xz&lt;L_rampe,Poids*COS(Beta),0)</f>
        <v>0</v>
      </c>
      <c r="V708" s="306">
        <f t="shared" ref="V708:V771" ca="1" si="322">Rho_moyen*(20000-Alt_rampe-pos_z)/(20000+Alt_rampe+pos_z)</f>
        <v>1.1748956493445941</v>
      </c>
      <c r="W708" s="304">
        <f t="shared" ref="W708:W771" ca="1" si="323">1/2*Rho*Sref*Cx*vit_xz^2</f>
        <v>46.641484967526893</v>
      </c>
      <c r="Y708" s="314" t="str">
        <f t="shared" ca="1" si="312"/>
        <v/>
      </c>
      <c r="Z708" s="315" t="str">
        <f t="shared" ca="1" si="313"/>
        <v/>
      </c>
      <c r="AA708" s="316" t="str">
        <f t="shared" ca="1" si="314"/>
        <v/>
      </c>
      <c r="AC708" s="310" t="e">
        <f t="shared" ca="1" si="315"/>
        <v>#N/A</v>
      </c>
      <c r="AD708" s="323" t="e">
        <f t="shared" ca="1" si="316"/>
        <v>#N/A</v>
      </c>
      <c r="AE708" s="324" t="e">
        <f t="shared" ref="AE708:AE771" ca="1" si="324">IF(t&lt;T_para, pos_z, NA())</f>
        <v>#N/A</v>
      </c>
      <c r="AG708" s="306">
        <f t="shared" ca="1" si="317"/>
        <v>3.5939257661682182</v>
      </c>
      <c r="AH708" s="304">
        <f t="shared" ca="1" si="318"/>
        <v>-6.1897499023122835</v>
      </c>
    </row>
    <row r="709" spans="1:34" x14ac:dyDescent="0.2">
      <c r="A709" s="347">
        <f t="shared" ref="A709:A772" ca="1" si="325">IF(B708+0.01&lt;=T_ini+ROUNDUP(Temps_fin_propu,0), 0.01, IF(K708&gt;0, 0.1, 0.0001))</f>
        <v>0.1</v>
      </c>
      <c r="B709" s="304">
        <f t="shared" ref="B709:B772" ca="1" si="326">B708+pas</f>
        <v>34.500000000000178</v>
      </c>
      <c r="D709" s="306">
        <f t="shared" ref="D709:D772" ca="1" si="327">IF(AND(L708&lt;L_rampe,Poussee&lt;Poids*SIN(M708)),0,(-W708+Poussee)/m*COS(M708)-U708/m*SIN(M708))</f>
        <v>-0.45273166712661272</v>
      </c>
      <c r="E709" s="307">
        <f t="shared" ref="E709:E772" ca="1" si="328">IF(AND(L708&lt;L_rampe,Poussee&lt;Poids*SIN(M708)),0,(-W708+Poussee)/m*SIN(M708)+U708/m*COS(M708)-Poids/m)</f>
        <v>-3.5926357115387075</v>
      </c>
      <c r="F709" s="304">
        <f t="shared" ref="F709:F772" ca="1" si="329">SQRT(acc_x^2+acc_z^2)</f>
        <v>3.6210492013009818</v>
      </c>
      <c r="G709" s="306">
        <f t="shared" ref="G709:G772" ca="1" si="330">G708+acc_x*pas</f>
        <v>8.8542203876143208</v>
      </c>
      <c r="H709" s="307">
        <f t="shared" ref="H709:H772" ca="1" si="331">H708+acc_z*pas</f>
        <v>-122.57601452484815</v>
      </c>
      <c r="I709" s="304">
        <f t="shared" ref="I709:I772" ca="1" si="332">SQRT(vit_x^2+vit_z^2)</f>
        <v>122.89538866641104</v>
      </c>
      <c r="J709" s="306">
        <f t="shared" ref="J709:J772" ca="1" si="333">J708+0.5*(vit_x+G708)*pas*(K708&gt;=0)</f>
        <v>489.17320895888651</v>
      </c>
      <c r="K709" s="307">
        <f t="shared" ref="K709:K772" ca="1" si="334">K708+0.5*(vit_z+H708)*pas</f>
        <v>405.31477221962513</v>
      </c>
      <c r="L709" s="304">
        <f t="shared" ca="1" si="319"/>
        <v>635.27198343904718</v>
      </c>
      <c r="M709" s="306">
        <f t="shared" ref="M709:M772" ca="1" si="335">IF(AND(L708&gt;L_rampe,G709&gt;0),ATAN2(G709,H709),$M$4)</f>
        <v>-1.4986870440300872</v>
      </c>
      <c r="N709" s="304">
        <f t="shared" ref="N709:N772" ca="1" si="336">DEGREES(Beta)</f>
        <v>-85.868442433860977</v>
      </c>
      <c r="P709" s="310">
        <f t="shared" ref="P709:P772" ca="1" si="337">MATCH(t-pas/2-T_ini,CdP_t)</f>
        <v>23</v>
      </c>
      <c r="Q709" s="304">
        <f t="shared" ref="Q709:Q772" ca="1" si="338">(INDEX(CdP,2,i_P+1)-INDEX(CdP,2,i_P+0))/(INDEX(CdP,1,i_P+1)-INDEX(CdP,1,i_P+0))*(t-pas/2-T_ini-INDEX(CdP,1,i_P+0))+INDEX(CdP,2,i_P+0)</f>
        <v>0</v>
      </c>
      <c r="R709" s="306">
        <f t="shared" ref="R709:R772" ca="1" si="339">Poussee/(g*ISP)</f>
        <v>0</v>
      </c>
      <c r="S709" s="307">
        <f t="shared" ref="S709:S772" ca="1" si="340">S708-Débit*pas</f>
        <v>7.4819999999999904</v>
      </c>
      <c r="T709" s="304">
        <f t="shared" ca="1" si="320"/>
        <v>73.398419999999916</v>
      </c>
      <c r="U709" s="311">
        <f t="shared" ca="1" si="321"/>
        <v>0</v>
      </c>
      <c r="V709" s="306">
        <f t="shared" ca="1" si="322"/>
        <v>1.1763351691447559</v>
      </c>
      <c r="W709" s="304">
        <f t="shared" ca="1" si="323"/>
        <v>46.969632239253748</v>
      </c>
      <c r="Y709" s="314" t="str">
        <f t="shared" ref="Y709:Y772" ca="1" si="341">IF(AND(pos_z&lt;=0,K708&gt;0),"Impact balistique","") &amp; IF(AND(H710&lt;0,vit_z&gt;=0),"Apogée","") &amp; IF(AND(Poussee=0,Q708&gt;0),"Fin de propulsion","") &amp; IF(AND(L710&gt;L_rampe,pos_xz&lt;=L_rampe),"Sortie de rampe","")</f>
        <v/>
      </c>
      <c r="Z709" s="315" t="str">
        <f t="shared" ref="Z709:Z772" ca="1" si="342">IF(ABS(t-T_para)&lt;pas/2,"Para","")</f>
        <v/>
      </c>
      <c r="AA709" s="316" t="str">
        <f t="shared" ref="AA709:AA772" ca="1" si="343">IF(ABS(t-T_satellite)&lt;pas/2,"Satellite","")</f>
        <v/>
      </c>
      <c r="AC709" s="310" t="e">
        <f t="shared" ref="AC709:AC772" ca="1" si="344">IF(ABS(t-ROUND(t,0))&lt;0.001,t,NA())</f>
        <v>#N/A</v>
      </c>
      <c r="AD709" s="323" t="e">
        <f t="shared" ref="AD709:AD772" ca="1" si="345">IF(ABS(t-ROUND(t,0))&lt;0.001,pos_x,NA())</f>
        <v>#N/A</v>
      </c>
      <c r="AE709" s="324" t="e">
        <f t="shared" ca="1" si="324"/>
        <v>#N/A</v>
      </c>
      <c r="AG709" s="306">
        <f t="shared" ref="AG709:AG772" ca="1" si="346">IF(AND(L708&lt;L_rampe,Poussee&lt;Poids*SIN(M708)),0,(-W708+Poussee)/m-Poids*SIN(M708)/m)</f>
        <v>3.5502690586012617</v>
      </c>
      <c r="AH709" s="304">
        <f t="shared" ref="AH709:AH772" ca="1" si="347">IF(AND(L708&lt;L_rampe,Poussee&lt;Poids*SIN(M708)), g*SIN(M708), (-W708+Poussee)/m)</f>
        <v>-6.2338258443633991</v>
      </c>
    </row>
    <row r="710" spans="1:34" x14ac:dyDescent="0.2">
      <c r="A710" s="347">
        <f t="shared" ca="1" si="325"/>
        <v>0.1</v>
      </c>
      <c r="B710" s="304">
        <f t="shared" ca="1" si="326"/>
        <v>34.600000000000179</v>
      </c>
      <c r="D710" s="306">
        <f t="shared" ca="1" si="327"/>
        <v>-0.45228709486434521</v>
      </c>
      <c r="E710" s="307">
        <f t="shared" ca="1" si="328"/>
        <v>-3.5486300450523443</v>
      </c>
      <c r="F710" s="304">
        <f t="shared" ca="1" si="329"/>
        <v>3.5773368324535828</v>
      </c>
      <c r="G710" s="306">
        <f t="shared" ca="1" si="330"/>
        <v>8.808991678127887</v>
      </c>
      <c r="H710" s="307">
        <f t="shared" ca="1" si="331"/>
        <v>-122.93087752935338</v>
      </c>
      <c r="I710" s="304">
        <f t="shared" ca="1" si="332"/>
        <v>123.24609115311611</v>
      </c>
      <c r="J710" s="306">
        <f t="shared" ca="1" si="333"/>
        <v>490.05636956217364</v>
      </c>
      <c r="K710" s="307">
        <f t="shared" ca="1" si="334"/>
        <v>393.03942761691508</v>
      </c>
      <c r="L710" s="304">
        <f t="shared" ca="1" si="319"/>
        <v>628.19999762009707</v>
      </c>
      <c r="M710" s="306">
        <f t="shared" ca="1" si="335"/>
        <v>-1.4992605139161697</v>
      </c>
      <c r="N710" s="304">
        <f t="shared" ca="1" si="336"/>
        <v>-85.901299838011354</v>
      </c>
      <c r="P710" s="310">
        <f t="shared" ca="1" si="337"/>
        <v>23</v>
      </c>
      <c r="Q710" s="304">
        <f t="shared" ca="1" si="338"/>
        <v>0</v>
      </c>
      <c r="R710" s="306">
        <f t="shared" ca="1" si="339"/>
        <v>0</v>
      </c>
      <c r="S710" s="307">
        <f t="shared" ca="1" si="340"/>
        <v>7.4819999999999904</v>
      </c>
      <c r="T710" s="304">
        <f t="shared" ca="1" si="320"/>
        <v>73.398419999999916</v>
      </c>
      <c r="U710" s="311">
        <f t="shared" ca="1" si="321"/>
        <v>0</v>
      </c>
      <c r="V710" s="306">
        <f t="shared" ca="1" si="322"/>
        <v>1.1777806239438058</v>
      </c>
      <c r="W710" s="304">
        <f t="shared" ca="1" si="323"/>
        <v>47.29613121162172</v>
      </c>
      <c r="Y710" s="314" t="str">
        <f t="shared" ca="1" si="341"/>
        <v/>
      </c>
      <c r="Z710" s="315" t="str">
        <f t="shared" ca="1" si="342"/>
        <v/>
      </c>
      <c r="AA710" s="316" t="str">
        <f t="shared" ca="1" si="343"/>
        <v/>
      </c>
      <c r="AC710" s="310" t="e">
        <f t="shared" ca="1" si="344"/>
        <v>#N/A</v>
      </c>
      <c r="AD710" s="323" t="e">
        <f t="shared" ca="1" si="345"/>
        <v>#N/A</v>
      </c>
      <c r="AE710" s="324" t="e">
        <f t="shared" ca="1" si="324"/>
        <v>#N/A</v>
      </c>
      <c r="AG710" s="306">
        <f t="shared" ca="1" si="346"/>
        <v>3.5068222087574288</v>
      </c>
      <c r="AH710" s="304">
        <f t="shared" ca="1" si="347"/>
        <v>-6.2776840736773334</v>
      </c>
    </row>
    <row r="711" spans="1:34" x14ac:dyDescent="0.2">
      <c r="A711" s="347">
        <f t="shared" ca="1" si="325"/>
        <v>0.1</v>
      </c>
      <c r="B711" s="304">
        <f t="shared" ca="1" si="326"/>
        <v>34.70000000000018</v>
      </c>
      <c r="D711" s="306">
        <f t="shared" ca="1" si="327"/>
        <v>-0.45181532639895255</v>
      </c>
      <c r="E711" s="307">
        <f t="shared" ca="1" si="328"/>
        <v>-3.5048453824355867</v>
      </c>
      <c r="F711" s="304">
        <f t="shared" ca="1" si="329"/>
        <v>3.5338475128320188</v>
      </c>
      <c r="G711" s="306">
        <f t="shared" ca="1" si="330"/>
        <v>8.7638101454879909</v>
      </c>
      <c r="H711" s="307">
        <f t="shared" ca="1" si="331"/>
        <v>-123.28136206759694</v>
      </c>
      <c r="I711" s="304">
        <f t="shared" ca="1" si="332"/>
        <v>123.59246984144337</v>
      </c>
      <c r="J711" s="306">
        <f t="shared" ca="1" si="333"/>
        <v>490.93500965335443</v>
      </c>
      <c r="K711" s="307">
        <f t="shared" ca="1" si="334"/>
        <v>380.72881563706756</v>
      </c>
      <c r="L711" s="304">
        <f t="shared" ca="1" si="319"/>
        <v>621.26613843001564</v>
      </c>
      <c r="M711" s="306">
        <f t="shared" ca="1" si="335"/>
        <v>-1.4998278364906719</v>
      </c>
      <c r="N711" s="304">
        <f t="shared" ca="1" si="336"/>
        <v>-85.933805027152815</v>
      </c>
      <c r="P711" s="310">
        <f t="shared" ca="1" si="337"/>
        <v>23</v>
      </c>
      <c r="Q711" s="304">
        <f t="shared" ca="1" si="338"/>
        <v>0</v>
      </c>
      <c r="R711" s="306">
        <f t="shared" ca="1" si="339"/>
        <v>0</v>
      </c>
      <c r="S711" s="307">
        <f t="shared" ca="1" si="340"/>
        <v>7.4819999999999904</v>
      </c>
      <c r="T711" s="304">
        <f t="shared" ca="1" si="320"/>
        <v>73.398419999999916</v>
      </c>
      <c r="U711" s="311">
        <f t="shared" ca="1" si="321"/>
        <v>0</v>
      </c>
      <c r="V711" s="306">
        <f t="shared" ca="1" si="322"/>
        <v>1.1792319802815328</v>
      </c>
      <c r="W711" s="304">
        <f t="shared" ca="1" si="323"/>
        <v>47.620963097192671</v>
      </c>
      <c r="Y711" s="314" t="str">
        <f t="shared" ca="1" si="341"/>
        <v/>
      </c>
      <c r="Z711" s="315" t="str">
        <f t="shared" ca="1" si="342"/>
        <v/>
      </c>
      <c r="AA711" s="316" t="str">
        <f t="shared" ca="1" si="343"/>
        <v/>
      </c>
      <c r="AC711" s="310" t="e">
        <f t="shared" ca="1" si="344"/>
        <v>#N/A</v>
      </c>
      <c r="AD711" s="323" t="e">
        <f t="shared" ca="1" si="345"/>
        <v>#N/A</v>
      </c>
      <c r="AE711" s="324" t="e">
        <f t="shared" ca="1" si="324"/>
        <v>#N/A</v>
      </c>
      <c r="AG711" s="306">
        <f t="shared" ca="1" si="346"/>
        <v>3.4635879890655428</v>
      </c>
      <c r="AH711" s="304">
        <f t="shared" ca="1" si="347"/>
        <v>-6.3213220010186824</v>
      </c>
    </row>
    <row r="712" spans="1:34" x14ac:dyDescent="0.2">
      <c r="A712" s="347">
        <f t="shared" ca="1" si="325"/>
        <v>0.1</v>
      </c>
      <c r="B712" s="304">
        <f t="shared" ca="1" si="326"/>
        <v>34.800000000000182</v>
      </c>
      <c r="D712" s="306">
        <f t="shared" ca="1" si="327"/>
        <v>-0.45131671675949436</v>
      </c>
      <c r="E712" s="307">
        <f t="shared" ca="1" si="328"/>
        <v>-3.4612842425469763</v>
      </c>
      <c r="F712" s="304">
        <f t="shared" ca="1" si="329"/>
        <v>3.4905838174337775</v>
      </c>
      <c r="G712" s="306">
        <f t="shared" ca="1" si="330"/>
        <v>8.7186784738120409</v>
      </c>
      <c r="H712" s="307">
        <f t="shared" ca="1" si="331"/>
        <v>-123.62749049185165</v>
      </c>
      <c r="I712" s="304">
        <f t="shared" ca="1" si="332"/>
        <v>123.93454627198416</v>
      </c>
      <c r="J712" s="306">
        <f t="shared" ca="1" si="333"/>
        <v>491.80913408431945</v>
      </c>
      <c r="K712" s="307">
        <f t="shared" ca="1" si="334"/>
        <v>368.38337300909512</v>
      </c>
      <c r="L712" s="304">
        <f t="shared" ca="1" si="319"/>
        <v>614.47744781914184</v>
      </c>
      <c r="M712" s="306">
        <f t="shared" ca="1" si="335"/>
        <v>-1.500389113946204</v>
      </c>
      <c r="N712" s="304">
        <f t="shared" ca="1" si="336"/>
        <v>-85.96596385649066</v>
      </c>
      <c r="P712" s="310">
        <f t="shared" ca="1" si="337"/>
        <v>23</v>
      </c>
      <c r="Q712" s="304">
        <f t="shared" ca="1" si="338"/>
        <v>0</v>
      </c>
      <c r="R712" s="306">
        <f t="shared" ca="1" si="339"/>
        <v>0</v>
      </c>
      <c r="S712" s="307">
        <f t="shared" ca="1" si="340"/>
        <v>7.4819999999999904</v>
      </c>
      <c r="T712" s="304">
        <f t="shared" ca="1" si="320"/>
        <v>73.398419999999916</v>
      </c>
      <c r="U712" s="311">
        <f t="shared" ca="1" si="321"/>
        <v>0</v>
      </c>
      <c r="V712" s="306">
        <f t="shared" ca="1" si="322"/>
        <v>1.1806892048159174</v>
      </c>
      <c r="W712" s="304">
        <f t="shared" ca="1" si="323"/>
        <v>47.944109689519593</v>
      </c>
      <c r="Y712" s="314" t="str">
        <f t="shared" ca="1" si="341"/>
        <v/>
      </c>
      <c r="Z712" s="315" t="str">
        <f t="shared" ca="1" si="342"/>
        <v/>
      </c>
      <c r="AA712" s="316" t="str">
        <f t="shared" ca="1" si="343"/>
        <v/>
      </c>
      <c r="AC712" s="310" t="e">
        <f t="shared" ca="1" si="344"/>
        <v>#N/A</v>
      </c>
      <c r="AD712" s="323" t="e">
        <f t="shared" ca="1" si="345"/>
        <v>#N/A</v>
      </c>
      <c r="AE712" s="324" t="e">
        <f t="shared" ca="1" si="324"/>
        <v>#N/A</v>
      </c>
      <c r="AG712" s="306">
        <f t="shared" ca="1" si="346"/>
        <v>3.4205690884362996</v>
      </c>
      <c r="AH712" s="304">
        <f t="shared" ca="1" si="347"/>
        <v>-6.3647371153692509</v>
      </c>
    </row>
    <row r="713" spans="1:34" x14ac:dyDescent="0.2">
      <c r="A713" s="347">
        <f t="shared" ca="1" si="325"/>
        <v>0.1</v>
      </c>
      <c r="B713" s="304">
        <f t="shared" ca="1" si="326"/>
        <v>34.900000000000183</v>
      </c>
      <c r="D713" s="306">
        <f t="shared" ca="1" si="327"/>
        <v>-0.45079162132078454</v>
      </c>
      <c r="E713" s="307">
        <f t="shared" ca="1" si="328"/>
        <v>-3.4179490663594798</v>
      </c>
      <c r="F713" s="304">
        <f t="shared" ca="1" si="329"/>
        <v>3.4475482456494588</v>
      </c>
      <c r="G713" s="306">
        <f t="shared" ca="1" si="330"/>
        <v>8.673599311679963</v>
      </c>
      <c r="H713" s="307">
        <f t="shared" ca="1" si="331"/>
        <v>-123.9692853984876</v>
      </c>
      <c r="I713" s="304">
        <f t="shared" ca="1" si="332"/>
        <v>124.27234224569538</v>
      </c>
      <c r="J713" s="306">
        <f t="shared" ca="1" si="333"/>
        <v>492.67874797359406</v>
      </c>
      <c r="K713" s="307">
        <f t="shared" ca="1" si="334"/>
        <v>356.00353421457817</v>
      </c>
      <c r="L713" s="304">
        <f t="shared" ca="1" si="319"/>
        <v>607.84115118844875</v>
      </c>
      <c r="M713" s="306">
        <f t="shared" ca="1" si="335"/>
        <v>-1.5009444461088295</v>
      </c>
      <c r="N713" s="304">
        <f t="shared" ca="1" si="336"/>
        <v>-85.997782045636967</v>
      </c>
      <c r="P713" s="310">
        <f t="shared" ca="1" si="337"/>
        <v>23</v>
      </c>
      <c r="Q713" s="304">
        <f t="shared" ca="1" si="338"/>
        <v>0</v>
      </c>
      <c r="R713" s="306">
        <f t="shared" ca="1" si="339"/>
        <v>0</v>
      </c>
      <c r="S713" s="307">
        <f t="shared" ca="1" si="340"/>
        <v>7.4819999999999904</v>
      </c>
      <c r="T713" s="304">
        <f t="shared" ca="1" si="320"/>
        <v>73.398419999999916</v>
      </c>
      <c r="U713" s="311">
        <f t="shared" ca="1" si="321"/>
        <v>0</v>
      </c>
      <c r="V713" s="306">
        <f t="shared" ca="1" si="322"/>
        <v>1.182152264325377</v>
      </c>
      <c r="W713" s="304">
        <f t="shared" ca="1" si="323"/>
        <v>48.265553358777552</v>
      </c>
      <c r="Y713" s="314" t="str">
        <f t="shared" ca="1" si="341"/>
        <v/>
      </c>
      <c r="Z713" s="315" t="str">
        <f t="shared" ca="1" si="342"/>
        <v/>
      </c>
      <c r="AA713" s="316" t="str">
        <f t="shared" ca="1" si="343"/>
        <v/>
      </c>
      <c r="AC713" s="310" t="e">
        <f t="shared" ca="1" si="344"/>
        <v>#N/A</v>
      </c>
      <c r="AD713" s="323" t="e">
        <f t="shared" ca="1" si="345"/>
        <v>#N/A</v>
      </c>
      <c r="AE713" s="324" t="e">
        <f t="shared" ca="1" si="324"/>
        <v>#N/A</v>
      </c>
      <c r="AG713" s="306">
        <f t="shared" ca="1" si="346"/>
        <v>3.3777681130110917</v>
      </c>
      <c r="AH713" s="304">
        <f t="shared" ca="1" si="347"/>
        <v>-6.4079269833626906</v>
      </c>
    </row>
    <row r="714" spans="1:34" x14ac:dyDescent="0.2">
      <c r="A714" s="347">
        <f t="shared" ca="1" si="325"/>
        <v>0.1</v>
      </c>
      <c r="B714" s="304">
        <f t="shared" ca="1" si="326"/>
        <v>35.000000000000185</v>
      </c>
      <c r="D714" s="306">
        <f t="shared" ca="1" si="327"/>
        <v>-0.45024039569987995</v>
      </c>
      <c r="E714" s="307">
        <f t="shared" ca="1" si="328"/>
        <v>-3.374842217545825</v>
      </c>
      <c r="F714" s="304">
        <f t="shared" ca="1" si="329"/>
        <v>3.4047432219257896</v>
      </c>
      <c r="G714" s="306">
        <f t="shared" ca="1" si="330"/>
        <v>8.6285752721099751</v>
      </c>
      <c r="H714" s="307">
        <f t="shared" ca="1" si="331"/>
        <v>-124.30676962024218</v>
      </c>
      <c r="I714" s="304">
        <f t="shared" ca="1" si="332"/>
        <v>124.60587981570706</v>
      </c>
      <c r="J714" s="306">
        <f t="shared" ca="1" si="333"/>
        <v>493.54385670278356</v>
      </c>
      <c r="K714" s="307">
        <f t="shared" ca="1" si="334"/>
        <v>343.58973146364167</v>
      </c>
      <c r="L714" s="304">
        <f t="shared" ca="1" si="319"/>
        <v>601.36464982264727</v>
      </c>
      <c r="M714" s="306">
        <f t="shared" ca="1" si="335"/>
        <v>-1.5014939305058563</v>
      </c>
      <c r="N714" s="304">
        <f t="shared" ca="1" si="336"/>
        <v>-86.029265182494896</v>
      </c>
      <c r="P714" s="310">
        <f t="shared" ca="1" si="337"/>
        <v>23</v>
      </c>
      <c r="Q714" s="304">
        <f t="shared" ca="1" si="338"/>
        <v>0</v>
      </c>
      <c r="R714" s="306">
        <f t="shared" ca="1" si="339"/>
        <v>0</v>
      </c>
      <c r="S714" s="307">
        <f t="shared" ca="1" si="340"/>
        <v>7.4819999999999904</v>
      </c>
      <c r="T714" s="304">
        <f t="shared" ca="1" si="320"/>
        <v>73.398419999999916</v>
      </c>
      <c r="U714" s="311">
        <f t="shared" ca="1" si="321"/>
        <v>0</v>
      </c>
      <c r="V714" s="306">
        <f t="shared" ca="1" si="322"/>
        <v>1.1836211257109659</v>
      </c>
      <c r="W714" s="304">
        <f t="shared" ca="1" si="323"/>
        <v>48.585277047260078</v>
      </c>
      <c r="Y714" s="314" t="str">
        <f t="shared" ca="1" si="341"/>
        <v/>
      </c>
      <c r="Z714" s="315" t="str">
        <f t="shared" ca="1" si="342"/>
        <v/>
      </c>
      <c r="AA714" s="316" t="str">
        <f t="shared" ca="1" si="343"/>
        <v/>
      </c>
      <c r="AC714" s="310">
        <f t="shared" ca="1" si="344"/>
        <v>35.000000000000185</v>
      </c>
      <c r="AD714" s="323">
        <f t="shared" ca="1" si="345"/>
        <v>493.54385670278356</v>
      </c>
      <c r="AE714" s="324" t="e">
        <f t="shared" ca="1" si="324"/>
        <v>#N/A</v>
      </c>
      <c r="AG714" s="306">
        <f t="shared" ca="1" si="346"/>
        <v>3.3351875869220384</v>
      </c>
      <c r="AH714" s="304">
        <f t="shared" ca="1" si="347"/>
        <v>-6.4508892487005633</v>
      </c>
    </row>
    <row r="715" spans="1:34" x14ac:dyDescent="0.2">
      <c r="A715" s="347">
        <f t="shared" ca="1" si="325"/>
        <v>0.1</v>
      </c>
      <c r="B715" s="304">
        <f t="shared" ca="1" si="326"/>
        <v>35.100000000000186</v>
      </c>
      <c r="D715" s="306">
        <f t="shared" ca="1" si="327"/>
        <v>-0.44966339565439467</v>
      </c>
      <c r="E715" s="307">
        <f t="shared" ca="1" si="328"/>
        <v>-3.3319659830819104</v>
      </c>
      <c r="F715" s="304">
        <f t="shared" ca="1" si="329"/>
        <v>3.3621710964503939</v>
      </c>
      <c r="G715" s="306">
        <f t="shared" ca="1" si="330"/>
        <v>8.5836089325445357</v>
      </c>
      <c r="H715" s="307">
        <f t="shared" ca="1" si="331"/>
        <v>-124.63996621855037</v>
      </c>
      <c r="I715" s="304">
        <f t="shared" ca="1" si="332"/>
        <v>124.93518127920669</v>
      </c>
      <c r="J715" s="306">
        <f t="shared" ca="1" si="333"/>
        <v>494.40446591301628</v>
      </c>
      <c r="K715" s="307">
        <f t="shared" ca="1" si="334"/>
        <v>331.14239467170205</v>
      </c>
      <c r="L715" s="304">
        <f t="shared" ca="1" si="319"/>
        <v>595.05551124550061</v>
      </c>
      <c r="M715" s="306">
        <f t="shared" ca="1" si="335"/>
        <v>-1.5020376624313263</v>
      </c>
      <c r="N715" s="304">
        <f t="shared" ca="1" si="336"/>
        <v>-86.060418727010841</v>
      </c>
      <c r="P715" s="310">
        <f t="shared" ca="1" si="337"/>
        <v>23</v>
      </c>
      <c r="Q715" s="304">
        <f t="shared" ca="1" si="338"/>
        <v>0</v>
      </c>
      <c r="R715" s="306">
        <f t="shared" ca="1" si="339"/>
        <v>0</v>
      </c>
      <c r="S715" s="307">
        <f t="shared" ca="1" si="340"/>
        <v>7.4819999999999904</v>
      </c>
      <c r="T715" s="304">
        <f t="shared" ca="1" si="320"/>
        <v>73.398419999999916</v>
      </c>
      <c r="U715" s="311">
        <f t="shared" ca="1" si="321"/>
        <v>0</v>
      </c>
      <c r="V715" s="306">
        <f t="shared" ca="1" si="322"/>
        <v>1.1850957559985273</v>
      </c>
      <c r="W715" s="304">
        <f t="shared" ca="1" si="323"/>
        <v>48.903264264746134</v>
      </c>
      <c r="Y715" s="314" t="str">
        <f t="shared" ca="1" si="341"/>
        <v/>
      </c>
      <c r="Z715" s="315" t="str">
        <f t="shared" ca="1" si="342"/>
        <v/>
      </c>
      <c r="AA715" s="316" t="str">
        <f t="shared" ca="1" si="343"/>
        <v/>
      </c>
      <c r="AC715" s="310" t="e">
        <f t="shared" ca="1" si="344"/>
        <v>#N/A</v>
      </c>
      <c r="AD715" s="323" t="e">
        <f t="shared" ca="1" si="345"/>
        <v>#N/A</v>
      </c>
      <c r="AE715" s="324" t="e">
        <f t="shared" ca="1" si="324"/>
        <v>#N/A</v>
      </c>
      <c r="AG715" s="306">
        <f t="shared" ca="1" si="346"/>
        <v>3.2928299530630154</v>
      </c>
      <c r="AH715" s="304">
        <f t="shared" ca="1" si="347"/>
        <v>-6.4936216315504067</v>
      </c>
    </row>
    <row r="716" spans="1:34" x14ac:dyDescent="0.2">
      <c r="A716" s="347">
        <f t="shared" ca="1" si="325"/>
        <v>0.1</v>
      </c>
      <c r="B716" s="304">
        <f t="shared" ca="1" si="326"/>
        <v>35.200000000000188</v>
      </c>
      <c r="D716" s="306">
        <f t="shared" ca="1" si="327"/>
        <v>-0.44906097698269182</v>
      </c>
      <c r="E716" s="307">
        <f t="shared" ca="1" si="328"/>
        <v>-3.2893225738675591</v>
      </c>
      <c r="F716" s="304">
        <f t="shared" ca="1" si="329"/>
        <v>3.3198341458577949</v>
      </c>
      <c r="G716" s="306">
        <f t="shared" ca="1" si="330"/>
        <v>8.5387028348462657</v>
      </c>
      <c r="H716" s="307">
        <f t="shared" ca="1" si="331"/>
        <v>-124.96889847593712</v>
      </c>
      <c r="I716" s="304">
        <f t="shared" ca="1" si="332"/>
        <v>125.2602691694014</v>
      </c>
      <c r="J716" s="306">
        <f t="shared" ca="1" si="333"/>
        <v>495.26058150138584</v>
      </c>
      <c r="K716" s="307">
        <f t="shared" ca="1" si="334"/>
        <v>318.66195143697769</v>
      </c>
      <c r="L716" s="304">
        <f t="shared" ca="1" si="319"/>
        <v>588.92145731218989</v>
      </c>
      <c r="M716" s="306">
        <f t="shared" ca="1" si="335"/>
        <v>-1.5025757350092948</v>
      </c>
      <c r="N716" s="304">
        <f t="shared" ca="1" si="336"/>
        <v>-86.091248014800158</v>
      </c>
      <c r="P716" s="310">
        <f t="shared" ca="1" si="337"/>
        <v>23</v>
      </c>
      <c r="Q716" s="304">
        <f t="shared" ca="1" si="338"/>
        <v>0</v>
      </c>
      <c r="R716" s="306">
        <f t="shared" ca="1" si="339"/>
        <v>0</v>
      </c>
      <c r="S716" s="307">
        <f t="shared" ca="1" si="340"/>
        <v>7.4819999999999904</v>
      </c>
      <c r="T716" s="304">
        <f t="shared" ca="1" si="320"/>
        <v>73.398419999999916</v>
      </c>
      <c r="U716" s="311">
        <f t="shared" ca="1" si="321"/>
        <v>0</v>
      </c>
      <c r="V716" s="306">
        <f t="shared" ca="1" si="322"/>
        <v>1.1865761223408031</v>
      </c>
      <c r="W716" s="304">
        <f t="shared" ca="1" si="323"/>
        <v>49.219499083742534</v>
      </c>
      <c r="Y716" s="314" t="str">
        <f t="shared" ca="1" si="341"/>
        <v/>
      </c>
      <c r="Z716" s="315" t="str">
        <f t="shared" ca="1" si="342"/>
        <v/>
      </c>
      <c r="AA716" s="316" t="str">
        <f t="shared" ca="1" si="343"/>
        <v/>
      </c>
      <c r="AC716" s="310" t="e">
        <f t="shared" ca="1" si="344"/>
        <v>#N/A</v>
      </c>
      <c r="AD716" s="323" t="e">
        <f t="shared" ca="1" si="345"/>
        <v>#N/A</v>
      </c>
      <c r="AE716" s="324" t="e">
        <f t="shared" ca="1" si="324"/>
        <v>#N/A</v>
      </c>
      <c r="AG716" s="306">
        <f t="shared" ca="1" si="346"/>
        <v>3.2506975738712507</v>
      </c>
      <c r="AH716" s="304">
        <f t="shared" ca="1" si="347"/>
        <v>-6.5361219279265166</v>
      </c>
    </row>
    <row r="717" spans="1:34" x14ac:dyDescent="0.2">
      <c r="A717" s="347">
        <f t="shared" ca="1" si="325"/>
        <v>0.1</v>
      </c>
      <c r="B717" s="304">
        <f t="shared" ca="1" si="326"/>
        <v>35.300000000000189</v>
      </c>
      <c r="D717" s="306">
        <f t="shared" ca="1" si="327"/>
        <v>-0.44843349542593974</v>
      </c>
      <c r="E717" s="307">
        <f t="shared" ca="1" si="328"/>
        <v>-3.2469141253640057</v>
      </c>
      <c r="F717" s="304">
        <f t="shared" ca="1" si="329"/>
        <v>3.2777345739562609</v>
      </c>
      <c r="G717" s="306">
        <f t="shared" ca="1" si="330"/>
        <v>8.4938594853036715</v>
      </c>
      <c r="H717" s="307">
        <f t="shared" ca="1" si="331"/>
        <v>-125.29358988847352</v>
      </c>
      <c r="I717" s="304">
        <f t="shared" ca="1" si="332"/>
        <v>125.5811662475591</v>
      </c>
      <c r="J717" s="306">
        <f t="shared" ca="1" si="333"/>
        <v>496.11220961739332</v>
      </c>
      <c r="K717" s="307">
        <f t="shared" ca="1" si="334"/>
        <v>306.14882701875717</v>
      </c>
      <c r="L717" s="304">
        <f t="shared" ca="1" si="319"/>
        <v>582.97034986044821</v>
      </c>
      <c r="M717" s="306">
        <f t="shared" ca="1" si="335"/>
        <v>-1.5031082392549875</v>
      </c>
      <c r="N717" s="304">
        <f t="shared" ca="1" si="336"/>
        <v>-86.121758260651148</v>
      </c>
      <c r="P717" s="310">
        <f t="shared" ca="1" si="337"/>
        <v>23</v>
      </c>
      <c r="Q717" s="304">
        <f t="shared" ca="1" si="338"/>
        <v>0</v>
      </c>
      <c r="R717" s="306">
        <f t="shared" ca="1" si="339"/>
        <v>0</v>
      </c>
      <c r="S717" s="307">
        <f t="shared" ca="1" si="340"/>
        <v>7.4819999999999904</v>
      </c>
      <c r="T717" s="304">
        <f t="shared" ca="1" si="320"/>
        <v>73.398419999999916</v>
      </c>
      <c r="U717" s="311">
        <f t="shared" ca="1" si="321"/>
        <v>0</v>
      </c>
      <c r="V717" s="306">
        <f t="shared" ca="1" si="322"/>
        <v>1.188062192019496</v>
      </c>
      <c r="W717" s="304">
        <f t="shared" ca="1" si="323"/>
        <v>49.533966134606722</v>
      </c>
      <c r="Y717" s="314" t="str">
        <f t="shared" ca="1" si="341"/>
        <v/>
      </c>
      <c r="Z717" s="315" t="str">
        <f t="shared" ca="1" si="342"/>
        <v/>
      </c>
      <c r="AA717" s="316" t="str">
        <f t="shared" ca="1" si="343"/>
        <v/>
      </c>
      <c r="AC717" s="310" t="e">
        <f t="shared" ca="1" si="344"/>
        <v>#N/A</v>
      </c>
      <c r="AD717" s="323" t="e">
        <f t="shared" ca="1" si="345"/>
        <v>#N/A</v>
      </c>
      <c r="AE717" s="324" t="e">
        <f t="shared" ca="1" si="324"/>
        <v>#N/A</v>
      </c>
      <c r="AG717" s="306">
        <f t="shared" ca="1" si="346"/>
        <v>3.2087927321191776</v>
      </c>
      <c r="AH717" s="304">
        <f t="shared" ca="1" si="347"/>
        <v>-6.5783880090540761</v>
      </c>
    </row>
    <row r="718" spans="1:34" x14ac:dyDescent="0.2">
      <c r="A718" s="347">
        <f t="shared" ca="1" si="325"/>
        <v>0.1</v>
      </c>
      <c r="B718" s="304">
        <f t="shared" ca="1" si="326"/>
        <v>35.40000000000019</v>
      </c>
      <c r="D718" s="306">
        <f t="shared" ca="1" si="327"/>
        <v>-0.44778130657204296</v>
      </c>
      <c r="E718" s="307">
        <f t="shared" ca="1" si="328"/>
        <v>-3.204742698247423</v>
      </c>
      <c r="F718" s="304">
        <f t="shared" ca="1" si="329"/>
        <v>3.2358745124750339</v>
      </c>
      <c r="G718" s="306">
        <f t="shared" ca="1" si="330"/>
        <v>8.4490813546464665</v>
      </c>
      <c r="H718" s="307">
        <f t="shared" ca="1" si="331"/>
        <v>-125.61406415829826</v>
      </c>
      <c r="I718" s="304">
        <f t="shared" ca="1" si="332"/>
        <v>125.89789549512933</v>
      </c>
      <c r="J718" s="306">
        <f t="shared" ca="1" si="333"/>
        <v>496.95935665939083</v>
      </c>
      <c r="K718" s="307">
        <f t="shared" ca="1" si="334"/>
        <v>293.60344431641857</v>
      </c>
      <c r="L718" s="304">
        <f t="shared" ca="1" si="319"/>
        <v>577.21017375456915</v>
      </c>
      <c r="M718" s="306">
        <f t="shared" ca="1" si="335"/>
        <v>-1.5036352641339157</v>
      </c>
      <c r="N718" s="304">
        <f t="shared" ca="1" si="336"/>
        <v>-86.151954561912135</v>
      </c>
      <c r="P718" s="310">
        <f t="shared" ca="1" si="337"/>
        <v>23</v>
      </c>
      <c r="Q718" s="304">
        <f t="shared" ca="1" si="338"/>
        <v>0</v>
      </c>
      <c r="R718" s="306">
        <f t="shared" ca="1" si="339"/>
        <v>0</v>
      </c>
      <c r="S718" s="307">
        <f t="shared" ca="1" si="340"/>
        <v>7.4819999999999904</v>
      </c>
      <c r="T718" s="304">
        <f t="shared" ca="1" si="320"/>
        <v>73.398419999999916</v>
      </c>
      <c r="U718" s="311">
        <f t="shared" ca="1" si="321"/>
        <v>0</v>
      </c>
      <c r="V718" s="306">
        <f t="shared" ca="1" si="322"/>
        <v>1.1895539324472864</v>
      </c>
      <c r="W718" s="304">
        <f t="shared" ca="1" si="323"/>
        <v>49.846650600554277</v>
      </c>
      <c r="Y718" s="314" t="str">
        <f t="shared" ca="1" si="341"/>
        <v/>
      </c>
      <c r="Z718" s="315" t="str">
        <f t="shared" ca="1" si="342"/>
        <v/>
      </c>
      <c r="AA718" s="316" t="str">
        <f t="shared" ca="1" si="343"/>
        <v/>
      </c>
      <c r="AC718" s="310" t="e">
        <f t="shared" ca="1" si="344"/>
        <v>#N/A</v>
      </c>
      <c r="AD718" s="323" t="e">
        <f t="shared" ca="1" si="345"/>
        <v>#N/A</v>
      </c>
      <c r="AE718" s="324" t="e">
        <f t="shared" ca="1" si="324"/>
        <v>#N/A</v>
      </c>
      <c r="AG718" s="306">
        <f t="shared" ca="1" si="346"/>
        <v>3.1671176317161702</v>
      </c>
      <c r="AH718" s="304">
        <f t="shared" ca="1" si="347"/>
        <v>-6.620417820717293</v>
      </c>
    </row>
    <row r="719" spans="1:34" x14ac:dyDescent="0.2">
      <c r="A719" s="347">
        <f t="shared" ca="1" si="325"/>
        <v>0.1</v>
      </c>
      <c r="B719" s="304">
        <f t="shared" ca="1" si="326"/>
        <v>35.500000000000192</v>
      </c>
      <c r="D719" s="306">
        <f t="shared" ca="1" si="327"/>
        <v>-0.44710476576145464</v>
      </c>
      <c r="E719" s="307">
        <f t="shared" ca="1" si="328"/>
        <v>-3.1628102790779291</v>
      </c>
      <c r="F719" s="304">
        <f t="shared" ca="1" si="329"/>
        <v>3.1942560218316269</v>
      </c>
      <c r="G719" s="306">
        <f t="shared" ca="1" si="330"/>
        <v>8.4043708780703206</v>
      </c>
      <c r="H719" s="307">
        <f t="shared" ca="1" si="331"/>
        <v>-125.93034518620605</v>
      </c>
      <c r="I719" s="304">
        <f t="shared" ca="1" si="332"/>
        <v>126.21048010594511</v>
      </c>
      <c r="J719" s="306">
        <f t="shared" ca="1" si="333"/>
        <v>497.8020292710267</v>
      </c>
      <c r="K719" s="307">
        <f t="shared" ca="1" si="334"/>
        <v>281.02622384919334</v>
      </c>
      <c r="L719" s="304">
        <f t="shared" ca="1" si="319"/>
        <v>571.64901717512737</v>
      </c>
      <c r="M719" s="306">
        <f t="shared" ca="1" si="335"/>
        <v>-1.5041568966190304</v>
      </c>
      <c r="N719" s="304">
        <f t="shared" ca="1" si="336"/>
        <v>-86.181841901766134</v>
      </c>
      <c r="P719" s="310">
        <f t="shared" ca="1" si="337"/>
        <v>23</v>
      </c>
      <c r="Q719" s="304">
        <f t="shared" ca="1" si="338"/>
        <v>0</v>
      </c>
      <c r="R719" s="306">
        <f t="shared" ca="1" si="339"/>
        <v>0</v>
      </c>
      <c r="S719" s="307">
        <f t="shared" ca="1" si="340"/>
        <v>7.4819999999999904</v>
      </c>
      <c r="T719" s="304">
        <f t="shared" ca="1" si="320"/>
        <v>73.398419999999916</v>
      </c>
      <c r="U719" s="311">
        <f t="shared" ca="1" si="321"/>
        <v>0</v>
      </c>
      <c r="V719" s="306">
        <f t="shared" ca="1" si="322"/>
        <v>1.1910513111698031</v>
      </c>
      <c r="W719" s="304">
        <f t="shared" ca="1" si="323"/>
        <v>50.15753821255629</v>
      </c>
      <c r="Y719" s="314" t="str">
        <f t="shared" ca="1" si="341"/>
        <v/>
      </c>
      <c r="Z719" s="315" t="str">
        <f t="shared" ca="1" si="342"/>
        <v/>
      </c>
      <c r="AA719" s="316" t="str">
        <f t="shared" ca="1" si="343"/>
        <v/>
      </c>
      <c r="AC719" s="310" t="e">
        <f t="shared" ca="1" si="344"/>
        <v>#N/A</v>
      </c>
      <c r="AD719" s="323" t="e">
        <f t="shared" ca="1" si="345"/>
        <v>#N/A</v>
      </c>
      <c r="AE719" s="324" t="e">
        <f t="shared" ca="1" si="324"/>
        <v>#N/A</v>
      </c>
      <c r="AG719" s="306">
        <f t="shared" ca="1" si="346"/>
        <v>3.1256743985198376</v>
      </c>
      <c r="AH719" s="304">
        <f t="shared" ca="1" si="347"/>
        <v>-6.6622093825921329</v>
      </c>
    </row>
    <row r="720" spans="1:34" x14ac:dyDescent="0.2">
      <c r="A720" s="347">
        <f t="shared" ca="1" si="325"/>
        <v>0.1</v>
      </c>
      <c r="B720" s="304">
        <f t="shared" ca="1" si="326"/>
        <v>35.600000000000193</v>
      </c>
      <c r="D720" s="306">
        <f t="shared" ca="1" si="327"/>
        <v>-0.44640422799486323</v>
      </c>
      <c r="E720" s="307">
        <f t="shared" ca="1" si="328"/>
        <v>-3.1211187809833634</v>
      </c>
      <c r="F720" s="304">
        <f t="shared" ca="1" si="329"/>
        <v>3.1528810919187493</v>
      </c>
      <c r="G720" s="306">
        <f t="shared" ca="1" si="330"/>
        <v>8.3597304552708351</v>
      </c>
      <c r="H720" s="307">
        <f t="shared" ca="1" si="331"/>
        <v>-126.24245706430439</v>
      </c>
      <c r="I720" s="304">
        <f t="shared" ca="1" si="332"/>
        <v>126.5189434785065</v>
      </c>
      <c r="J720" s="306">
        <f t="shared" ca="1" si="333"/>
        <v>498.64023433769376</v>
      </c>
      <c r="K720" s="307">
        <f t="shared" ca="1" si="334"/>
        <v>268.41758373666784</v>
      </c>
      <c r="L720" s="304">
        <f t="shared" ca="1" si="319"/>
        <v>566.29504903308248</v>
      </c>
      <c r="M720" s="306">
        <f t="shared" ca="1" si="335"/>
        <v>-1.5046732217459891</v>
      </c>
      <c r="N720" s="304">
        <f t="shared" ca="1" si="336"/>
        <v>-86.21142515239741</v>
      </c>
      <c r="P720" s="310">
        <f t="shared" ca="1" si="337"/>
        <v>23</v>
      </c>
      <c r="Q720" s="304">
        <f t="shared" ca="1" si="338"/>
        <v>0</v>
      </c>
      <c r="R720" s="306">
        <f t="shared" ca="1" si="339"/>
        <v>0</v>
      </c>
      <c r="S720" s="307">
        <f t="shared" ca="1" si="340"/>
        <v>7.4819999999999904</v>
      </c>
      <c r="T720" s="304">
        <f t="shared" ca="1" si="320"/>
        <v>73.398419999999916</v>
      </c>
      <c r="U720" s="311">
        <f t="shared" ca="1" si="321"/>
        <v>0</v>
      </c>
      <c r="V720" s="306">
        <f t="shared" ca="1" si="322"/>
        <v>1.1925542958675517</v>
      </c>
      <c r="W720" s="304">
        <f t="shared" ca="1" si="323"/>
        <v>50.466615244131404</v>
      </c>
      <c r="Y720" s="314" t="str">
        <f t="shared" ca="1" si="341"/>
        <v/>
      </c>
      <c r="Z720" s="315" t="str">
        <f t="shared" ca="1" si="342"/>
        <v/>
      </c>
      <c r="AA720" s="316" t="str">
        <f t="shared" ca="1" si="343"/>
        <v/>
      </c>
      <c r="AC720" s="310" t="e">
        <f t="shared" ca="1" si="344"/>
        <v>#N/A</v>
      </c>
      <c r="AD720" s="323" t="e">
        <f t="shared" ca="1" si="345"/>
        <v>#N/A</v>
      </c>
      <c r="AE720" s="324" t="e">
        <f t="shared" ca="1" si="324"/>
        <v>#N/A</v>
      </c>
      <c r="AG720" s="306">
        <f t="shared" ca="1" si="346"/>
        <v>3.0844650811564467</v>
      </c>
      <c r="AH720" s="304">
        <f t="shared" ca="1" si="347"/>
        <v>-6.7037607875643346</v>
      </c>
    </row>
    <row r="721" spans="1:34" x14ac:dyDescent="0.2">
      <c r="A721" s="347">
        <f t="shared" ca="1" si="325"/>
        <v>0.1</v>
      </c>
      <c r="B721" s="304">
        <f t="shared" ca="1" si="326"/>
        <v>35.700000000000195</v>
      </c>
      <c r="D721" s="306">
        <f t="shared" ca="1" si="327"/>
        <v>-0.44568004784277565</v>
      </c>
      <c r="E721" s="307">
        <f t="shared" ca="1" si="328"/>
        <v>-3.0796700443571998</v>
      </c>
      <c r="F721" s="304">
        <f t="shared" ca="1" si="329"/>
        <v>3.111751642910503</v>
      </c>
      <c r="G721" s="306">
        <f t="shared" ca="1" si="330"/>
        <v>8.3151624504865573</v>
      </c>
      <c r="H721" s="307">
        <f t="shared" ca="1" si="331"/>
        <v>-126.55042406874011</v>
      </c>
      <c r="I721" s="304">
        <f t="shared" ca="1" si="332"/>
        <v>126.82330920834679</v>
      </c>
      <c r="J721" s="306">
        <f t="shared" ca="1" si="333"/>
        <v>499.47397898298163</v>
      </c>
      <c r="K721" s="307">
        <f t="shared" ca="1" si="334"/>
        <v>255.77793968001561</v>
      </c>
      <c r="L721" s="304">
        <f t="shared" ca="1" si="319"/>
        <v>561.15649342054814</v>
      </c>
      <c r="M721" s="306">
        <f t="shared" ca="1" si="335"/>
        <v>-1.5051843226666075</v>
      </c>
      <c r="N721" s="304">
        <f t="shared" ca="1" si="336"/>
        <v>-86.24070907805411</v>
      </c>
      <c r="P721" s="310">
        <f t="shared" ca="1" si="337"/>
        <v>23</v>
      </c>
      <c r="Q721" s="304">
        <f t="shared" ca="1" si="338"/>
        <v>0</v>
      </c>
      <c r="R721" s="306">
        <f t="shared" ca="1" si="339"/>
        <v>0</v>
      </c>
      <c r="S721" s="307">
        <f t="shared" ca="1" si="340"/>
        <v>7.4819999999999904</v>
      </c>
      <c r="T721" s="304">
        <f t="shared" ca="1" si="320"/>
        <v>73.398419999999916</v>
      </c>
      <c r="U721" s="311">
        <f t="shared" ca="1" si="321"/>
        <v>0</v>
      </c>
      <c r="V721" s="306">
        <f t="shared" ca="1" si="322"/>
        <v>1.1940628543577956</v>
      </c>
      <c r="W721" s="304">
        <f t="shared" ca="1" si="323"/>
        <v>50.773868506036571</v>
      </c>
      <c r="Y721" s="314" t="str">
        <f t="shared" ca="1" si="341"/>
        <v/>
      </c>
      <c r="Z721" s="315" t="str">
        <f t="shared" ca="1" si="342"/>
        <v/>
      </c>
      <c r="AA721" s="316" t="str">
        <f t="shared" ca="1" si="343"/>
        <v/>
      </c>
      <c r="AC721" s="310" t="e">
        <f t="shared" ca="1" si="344"/>
        <v>#N/A</v>
      </c>
      <c r="AD721" s="323" t="e">
        <f t="shared" ca="1" si="345"/>
        <v>#N/A</v>
      </c>
      <c r="AE721" s="324" t="e">
        <f t="shared" ca="1" si="324"/>
        <v>#N/A</v>
      </c>
      <c r="AG721" s="306">
        <f t="shared" ca="1" si="346"/>
        <v>3.0434916518501103</v>
      </c>
      <c r="AH721" s="304">
        <f t="shared" ca="1" si="347"/>
        <v>-6.7450702010333421</v>
      </c>
    </row>
    <row r="722" spans="1:34" x14ac:dyDescent="0.2">
      <c r="A722" s="347">
        <f t="shared" ca="1" si="325"/>
        <v>0.1</v>
      </c>
      <c r="B722" s="304">
        <f t="shared" ca="1" si="326"/>
        <v>35.800000000000196</v>
      </c>
      <c r="D722" s="306">
        <f t="shared" ca="1" si="327"/>
        <v>-0.44493257935698122</v>
      </c>
      <c r="E722" s="307">
        <f t="shared" ca="1" si="328"/>
        <v>-3.0384658375700537</v>
      </c>
      <c r="F722" s="304">
        <f t="shared" ca="1" si="329"/>
        <v>3.0708695260876104</v>
      </c>
      <c r="G722" s="306">
        <f t="shared" ca="1" si="330"/>
        <v>8.2706691925508586</v>
      </c>
      <c r="H722" s="307">
        <f t="shared" ca="1" si="331"/>
        <v>-126.85427065249712</v>
      </c>
      <c r="I722" s="304">
        <f t="shared" ca="1" si="332"/>
        <v>127.1236010804823</v>
      </c>
      <c r="J722" s="306">
        <f t="shared" ca="1" si="333"/>
        <v>500.30327056513352</v>
      </c>
      <c r="K722" s="307">
        <f t="shared" ca="1" si="334"/>
        <v>243.10770494395373</v>
      </c>
      <c r="L722" s="304">
        <f t="shared" ca="1" si="319"/>
        <v>556.24160105235353</v>
      </c>
      <c r="M722" s="306">
        <f t="shared" ca="1" si="335"/>
        <v>-1.5056902807005668</v>
      </c>
      <c r="N722" s="304">
        <f t="shared" ca="1" si="336"/>
        <v>-86.269698338010699</v>
      </c>
      <c r="P722" s="310">
        <f t="shared" ca="1" si="337"/>
        <v>23</v>
      </c>
      <c r="Q722" s="304">
        <f t="shared" ca="1" si="338"/>
        <v>0</v>
      </c>
      <c r="R722" s="306">
        <f t="shared" ca="1" si="339"/>
        <v>0</v>
      </c>
      <c r="S722" s="307">
        <f t="shared" ca="1" si="340"/>
        <v>7.4819999999999904</v>
      </c>
      <c r="T722" s="304">
        <f t="shared" ca="1" si="320"/>
        <v>73.398419999999916</v>
      </c>
      <c r="U722" s="311">
        <f t="shared" ca="1" si="321"/>
        <v>0</v>
      </c>
      <c r="V722" s="306">
        <f t="shared" ca="1" si="322"/>
        <v>1.1955769545963921</v>
      </c>
      <c r="W722" s="304">
        <f t="shared" ca="1" si="323"/>
        <v>51.079285340861894</v>
      </c>
      <c r="Y722" s="314" t="str">
        <f t="shared" ca="1" si="341"/>
        <v/>
      </c>
      <c r="Z722" s="315" t="str">
        <f t="shared" ca="1" si="342"/>
        <v/>
      </c>
      <c r="AA722" s="316" t="str">
        <f t="shared" ca="1" si="343"/>
        <v/>
      </c>
      <c r="AC722" s="310" t="e">
        <f t="shared" ca="1" si="344"/>
        <v>#N/A</v>
      </c>
      <c r="AD722" s="323" t="e">
        <f t="shared" ca="1" si="345"/>
        <v>#N/A</v>
      </c>
      <c r="AE722" s="324" t="e">
        <f t="shared" ca="1" si="324"/>
        <v>#N/A</v>
      </c>
      <c r="AG722" s="306">
        <f t="shared" ca="1" si="346"/>
        <v>3.0027560072603707</v>
      </c>
      <c r="AH722" s="304">
        <f t="shared" ca="1" si="347"/>
        <v>-6.7861358602027044</v>
      </c>
    </row>
    <row r="723" spans="1:34" x14ac:dyDescent="0.2">
      <c r="A723" s="347">
        <f t="shared" ca="1" si="325"/>
        <v>0.1</v>
      </c>
      <c r="B723" s="304">
        <f t="shared" ca="1" si="326"/>
        <v>35.900000000000198</v>
      </c>
      <c r="D723" s="306">
        <f t="shared" ca="1" si="327"/>
        <v>-0.44416217598390667</v>
      </c>
      <c r="E723" s="307">
        <f t="shared" ca="1" si="328"/>
        <v>-2.9975078576940595</v>
      </c>
      <c r="F723" s="304">
        <f t="shared" ca="1" si="329"/>
        <v>3.0302365246812646</v>
      </c>
      <c r="G723" s="306">
        <f t="shared" ca="1" si="330"/>
        <v>8.2262529749524678</v>
      </c>
      <c r="H723" s="307">
        <f t="shared" ca="1" si="331"/>
        <v>-127.15402143826653</v>
      </c>
      <c r="I723" s="304">
        <f t="shared" ca="1" si="332"/>
        <v>127.41984306194644</v>
      </c>
      <c r="J723" s="306">
        <f t="shared" ca="1" si="333"/>
        <v>501.12811667350866</v>
      </c>
      <c r="K723" s="307">
        <f t="shared" ca="1" si="334"/>
        <v>230.40729033941557</v>
      </c>
      <c r="L723" s="304">
        <f t="shared" ca="1" si="319"/>
        <v>551.55861770285981</v>
      </c>
      <c r="M723" s="306">
        <f t="shared" ca="1" si="335"/>
        <v>-1.5061911753854411</v>
      </c>
      <c r="N723" s="304">
        <f t="shared" ca="1" si="336"/>
        <v>-86.298397489434535</v>
      </c>
      <c r="P723" s="310">
        <f t="shared" ca="1" si="337"/>
        <v>23</v>
      </c>
      <c r="Q723" s="304">
        <f t="shared" ca="1" si="338"/>
        <v>0</v>
      </c>
      <c r="R723" s="306">
        <f t="shared" ca="1" si="339"/>
        <v>0</v>
      </c>
      <c r="S723" s="307">
        <f t="shared" ca="1" si="340"/>
        <v>7.4819999999999904</v>
      </c>
      <c r="T723" s="304">
        <f t="shared" ca="1" si="320"/>
        <v>73.398419999999916</v>
      </c>
      <c r="U723" s="311">
        <f t="shared" ca="1" si="321"/>
        <v>0</v>
      </c>
      <c r="V723" s="306">
        <f t="shared" ca="1" si="322"/>
        <v>1.1970965646795886</v>
      </c>
      <c r="W723" s="304">
        <f t="shared" ca="1" si="323"/>
        <v>51.382853617533655</v>
      </c>
      <c r="Y723" s="314" t="str">
        <f t="shared" ca="1" si="341"/>
        <v/>
      </c>
      <c r="Z723" s="315" t="str">
        <f t="shared" ca="1" si="342"/>
        <v/>
      </c>
      <c r="AA723" s="316" t="str">
        <f t="shared" ca="1" si="343"/>
        <v/>
      </c>
      <c r="AC723" s="310" t="e">
        <f t="shared" ca="1" si="344"/>
        <v>#N/A</v>
      </c>
      <c r="AD723" s="323" t="e">
        <f t="shared" ca="1" si="345"/>
        <v>#N/A</v>
      </c>
      <c r="AE723" s="324" t="e">
        <f t="shared" ca="1" si="324"/>
        <v>#N/A</v>
      </c>
      <c r="AG723" s="306">
        <f t="shared" ca="1" si="346"/>
        <v>2.96225996932775</v>
      </c>
      <c r="AH723" s="304">
        <f t="shared" ca="1" si="347"/>
        <v>-6.8269560733576533</v>
      </c>
    </row>
    <row r="724" spans="1:34" x14ac:dyDescent="0.2">
      <c r="A724" s="347">
        <f t="shared" ca="1" si="325"/>
        <v>0.1</v>
      </c>
      <c r="B724" s="304">
        <f t="shared" ca="1" si="326"/>
        <v>36.000000000000199</v>
      </c>
      <c r="D724" s="306">
        <f t="shared" ca="1" si="327"/>
        <v>-0.44336919047984819</v>
      </c>
      <c r="E724" s="307">
        <f t="shared" ca="1" si="328"/>
        <v>-2.9567977312395657</v>
      </c>
      <c r="F724" s="304">
        <f t="shared" ca="1" si="329"/>
        <v>2.9898543547353937</v>
      </c>
      <c r="G724" s="306">
        <f t="shared" ca="1" si="330"/>
        <v>8.1819160559044821</v>
      </c>
      <c r="H724" s="307">
        <f t="shared" ca="1" si="331"/>
        <v>-127.44970121139048</v>
      </c>
      <c r="I724" s="304">
        <f t="shared" ca="1" si="332"/>
        <v>127.71205929440873</v>
      </c>
      <c r="J724" s="306">
        <f t="shared" ca="1" si="333"/>
        <v>501.9485251250515</v>
      </c>
      <c r="K724" s="307">
        <f t="shared" ca="1" si="334"/>
        <v>217.67710420693271</v>
      </c>
      <c r="L724" s="304">
        <f t="shared" ca="1" si="319"/>
        <v>547.11574970122206</v>
      </c>
      <c r="M724" s="306">
        <f t="shared" ca="1" si="335"/>
        <v>-1.5066870845251077</v>
      </c>
      <c r="N724" s="304">
        <f t="shared" ca="1" si="336"/>
        <v>-86.326810990159402</v>
      </c>
      <c r="P724" s="310">
        <f t="shared" ca="1" si="337"/>
        <v>23</v>
      </c>
      <c r="Q724" s="304">
        <f t="shared" ca="1" si="338"/>
        <v>0</v>
      </c>
      <c r="R724" s="306">
        <f t="shared" ca="1" si="339"/>
        <v>0</v>
      </c>
      <c r="S724" s="307">
        <f t="shared" ca="1" si="340"/>
        <v>7.4819999999999904</v>
      </c>
      <c r="T724" s="304">
        <f t="shared" ca="1" si="320"/>
        <v>73.398419999999916</v>
      </c>
      <c r="U724" s="311">
        <f t="shared" ca="1" si="321"/>
        <v>0</v>
      </c>
      <c r="V724" s="306">
        <f t="shared" ca="1" si="322"/>
        <v>1.1986216528457656</v>
      </c>
      <c r="W724" s="304">
        <f t="shared" ca="1" si="323"/>
        <v>51.684561725729857</v>
      </c>
      <c r="Y724" s="314" t="str">
        <f t="shared" ca="1" si="341"/>
        <v/>
      </c>
      <c r="Z724" s="315" t="str">
        <f t="shared" ca="1" si="342"/>
        <v/>
      </c>
      <c r="AA724" s="316" t="str">
        <f t="shared" ca="1" si="343"/>
        <v/>
      </c>
      <c r="AC724" s="310">
        <f t="shared" ca="1" si="344"/>
        <v>36.000000000000199</v>
      </c>
      <c r="AD724" s="323">
        <f t="shared" ca="1" si="345"/>
        <v>501.9485251250515</v>
      </c>
      <c r="AE724" s="324" t="e">
        <f t="shared" ca="1" si="324"/>
        <v>#N/A</v>
      </c>
      <c r="AG724" s="306">
        <f t="shared" ca="1" si="346"/>
        <v>2.9220052861268933</v>
      </c>
      <c r="AH724" s="304">
        <f t="shared" ca="1" si="347"/>
        <v>-6.8675292191304091</v>
      </c>
    </row>
    <row r="725" spans="1:34" x14ac:dyDescent="0.2">
      <c r="A725" s="347">
        <f t="shared" ca="1" si="325"/>
        <v>0.1</v>
      </c>
      <c r="B725" s="304">
        <f t="shared" ca="1" si="326"/>
        <v>36.1000000000002</v>
      </c>
      <c r="D725" s="306">
        <f t="shared" ca="1" si="327"/>
        <v>-0.44255397482810221</v>
      </c>
      <c r="E725" s="307">
        <f t="shared" ca="1" si="328"/>
        <v>-2.9163370149035694</v>
      </c>
      <c r="F725" s="304">
        <f t="shared" ca="1" si="329"/>
        <v>2.9497246659871181</v>
      </c>
      <c r="G725" s="306">
        <f t="shared" ca="1" si="330"/>
        <v>8.1376606584216713</v>
      </c>
      <c r="H725" s="307">
        <f t="shared" ca="1" si="331"/>
        <v>-127.74133491288083</v>
      </c>
      <c r="I725" s="304">
        <f t="shared" ca="1" si="332"/>
        <v>128.00027408688004</v>
      </c>
      <c r="J725" s="306">
        <f t="shared" ca="1" si="333"/>
        <v>502.7645039607678</v>
      </c>
      <c r="K725" s="307">
        <f t="shared" ca="1" si="334"/>
        <v>204.91755240071916</v>
      </c>
      <c r="L725" s="304">
        <f t="shared" ca="1" si="319"/>
        <v>542.92112661492399</v>
      </c>
      <c r="M725" s="306">
        <f t="shared" ca="1" si="335"/>
        <v>-1.507178084236602</v>
      </c>
      <c r="N725" s="304">
        <f t="shared" ca="1" si="336"/>
        <v>-86.354943201370162</v>
      </c>
      <c r="P725" s="310">
        <f t="shared" ca="1" si="337"/>
        <v>23</v>
      </c>
      <c r="Q725" s="304">
        <f t="shared" ca="1" si="338"/>
        <v>0</v>
      </c>
      <c r="R725" s="306">
        <f t="shared" ca="1" si="339"/>
        <v>0</v>
      </c>
      <c r="S725" s="307">
        <f t="shared" ca="1" si="340"/>
        <v>7.4819999999999904</v>
      </c>
      <c r="T725" s="304">
        <f t="shared" ca="1" si="320"/>
        <v>73.398419999999916</v>
      </c>
      <c r="U725" s="311">
        <f t="shared" ca="1" si="321"/>
        <v>0</v>
      </c>
      <c r="V725" s="306">
        <f t="shared" ca="1" si="322"/>
        <v>1.2001521874771468</v>
      </c>
      <c r="W725" s="304">
        <f t="shared" ca="1" si="323"/>
        <v>51.984398570213727</v>
      </c>
      <c r="Y725" s="314" t="str">
        <f t="shared" ca="1" si="341"/>
        <v/>
      </c>
      <c r="Z725" s="315" t="str">
        <f t="shared" ca="1" si="342"/>
        <v/>
      </c>
      <c r="AA725" s="316" t="str">
        <f t="shared" ca="1" si="343"/>
        <v/>
      </c>
      <c r="AC725" s="310" t="e">
        <f t="shared" ca="1" si="344"/>
        <v>#N/A</v>
      </c>
      <c r="AD725" s="323" t="e">
        <f t="shared" ca="1" si="345"/>
        <v>#N/A</v>
      </c>
      <c r="AE725" s="324" t="e">
        <f t="shared" ca="1" si="324"/>
        <v>#N/A</v>
      </c>
      <c r="AG725" s="306">
        <f t="shared" ca="1" si="346"/>
        <v>2.8819936327269149</v>
      </c>
      <c r="AH725" s="304">
        <f t="shared" ca="1" si="347"/>
        <v>-6.9078537457537985</v>
      </c>
    </row>
    <row r="726" spans="1:34" x14ac:dyDescent="0.2">
      <c r="A726" s="347">
        <f t="shared" ca="1" si="325"/>
        <v>0.1</v>
      </c>
      <c r="B726" s="304">
        <f t="shared" ca="1" si="326"/>
        <v>36.200000000000202</v>
      </c>
      <c r="D726" s="306">
        <f t="shared" ca="1" si="327"/>
        <v>-0.44171688015797089</v>
      </c>
      <c r="E726" s="307">
        <f t="shared" ca="1" si="328"/>
        <v>-2.8761271963291657</v>
      </c>
      <c r="F726" s="304">
        <f t="shared" ca="1" si="329"/>
        <v>2.9098490427650638</v>
      </c>
      <c r="G726" s="306">
        <f t="shared" ca="1" si="330"/>
        <v>8.0934889704058737</v>
      </c>
      <c r="H726" s="307">
        <f t="shared" ca="1" si="331"/>
        <v>-128.02894763251373</v>
      </c>
      <c r="I726" s="304">
        <f t="shared" ca="1" si="332"/>
        <v>128.2845119085037</v>
      </c>
      <c r="J726" s="306">
        <f t="shared" ca="1" si="333"/>
        <v>503.57606144220915</v>
      </c>
      <c r="K726" s="307">
        <f t="shared" ca="1" si="334"/>
        <v>192.12903827344942</v>
      </c>
      <c r="L726" s="304">
        <f t="shared" ca="1" si="319"/>
        <v>538.98276132500575</v>
      </c>
      <c r="M726" s="306">
        <f t="shared" ca="1" si="335"/>
        <v>-1.5076642489954757</v>
      </c>
      <c r="N726" s="304">
        <f t="shared" ca="1" si="336"/>
        <v>-86.382798390201629</v>
      </c>
      <c r="P726" s="310">
        <f t="shared" ca="1" si="337"/>
        <v>23</v>
      </c>
      <c r="Q726" s="304">
        <f t="shared" ca="1" si="338"/>
        <v>0</v>
      </c>
      <c r="R726" s="306">
        <f t="shared" ca="1" si="339"/>
        <v>0</v>
      </c>
      <c r="S726" s="307">
        <f t="shared" ca="1" si="340"/>
        <v>7.4819999999999904</v>
      </c>
      <c r="T726" s="304">
        <f t="shared" ca="1" si="320"/>
        <v>73.398419999999916</v>
      </c>
      <c r="U726" s="311">
        <f t="shared" ca="1" si="321"/>
        <v>0</v>
      </c>
      <c r="V726" s="306">
        <f t="shared" ca="1" si="322"/>
        <v>1.2016881371014556</v>
      </c>
      <c r="W726" s="304">
        <f t="shared" ca="1" si="323"/>
        <v>52.282353565087959</v>
      </c>
      <c r="Y726" s="314" t="str">
        <f t="shared" ca="1" si="341"/>
        <v/>
      </c>
      <c r="Z726" s="315" t="str">
        <f t="shared" ca="1" si="342"/>
        <v/>
      </c>
      <c r="AA726" s="316" t="str">
        <f t="shared" ca="1" si="343"/>
        <v/>
      </c>
      <c r="AC726" s="310" t="e">
        <f t="shared" ca="1" si="344"/>
        <v>#N/A</v>
      </c>
      <c r="AD726" s="323" t="e">
        <f t="shared" ca="1" si="345"/>
        <v>#N/A</v>
      </c>
      <c r="AE726" s="324" t="e">
        <f t="shared" ca="1" si="324"/>
        <v>#N/A</v>
      </c>
      <c r="AG726" s="306">
        <f t="shared" ca="1" si="346"/>
        <v>2.8422266120584574</v>
      </c>
      <c r="AH726" s="304">
        <f t="shared" ca="1" si="347"/>
        <v>-6.9479281703039018</v>
      </c>
    </row>
    <row r="727" spans="1:34" x14ac:dyDescent="0.2">
      <c r="A727" s="347">
        <f t="shared" ca="1" si="325"/>
        <v>0.1</v>
      </c>
      <c r="B727" s="304">
        <f t="shared" ca="1" si="326"/>
        <v>36.300000000000203</v>
      </c>
      <c r="D727" s="306">
        <f t="shared" ca="1" si="327"/>
        <v>-0.4408582566656376</v>
      </c>
      <c r="E727" s="307">
        <f t="shared" ca="1" si="328"/>
        <v>-2.8361696948756308</v>
      </c>
      <c r="F727" s="304">
        <f t="shared" ca="1" si="329"/>
        <v>2.8702290049055654</v>
      </c>
      <c r="G727" s="306">
        <f t="shared" ca="1" si="330"/>
        <v>8.0494031447393102</v>
      </c>
      <c r="H727" s="307">
        <f t="shared" ca="1" si="331"/>
        <v>-128.31256460200129</v>
      </c>
      <c r="I727" s="304">
        <f t="shared" ca="1" si="332"/>
        <v>128.56479738143443</v>
      </c>
      <c r="J727" s="306">
        <f t="shared" ca="1" si="333"/>
        <v>504.38320604796644</v>
      </c>
      <c r="K727" s="307">
        <f t="shared" ca="1" si="334"/>
        <v>179.31196266172367</v>
      </c>
      <c r="L727" s="304">
        <f t="shared" ca="1" si="319"/>
        <v>535.30850777549267</v>
      </c>
      <c r="M727" s="306">
        <f t="shared" ca="1" si="335"/>
        <v>-1.5081456516797085</v>
      </c>
      <c r="N727" s="304">
        <f t="shared" ca="1" si="336"/>
        <v>-86.410380732254424</v>
      </c>
      <c r="P727" s="310">
        <f t="shared" ca="1" si="337"/>
        <v>23</v>
      </c>
      <c r="Q727" s="304">
        <f t="shared" ca="1" si="338"/>
        <v>0</v>
      </c>
      <c r="R727" s="306">
        <f t="shared" ca="1" si="339"/>
        <v>0</v>
      </c>
      <c r="S727" s="307">
        <f t="shared" ca="1" si="340"/>
        <v>7.4819999999999904</v>
      </c>
      <c r="T727" s="304">
        <f t="shared" ca="1" si="320"/>
        <v>73.398419999999916</v>
      </c>
      <c r="U727" s="311">
        <f t="shared" ca="1" si="321"/>
        <v>0</v>
      </c>
      <c r="V727" s="306">
        <f t="shared" ca="1" si="322"/>
        <v>1.2032294703935351</v>
      </c>
      <c r="W727" s="304">
        <f t="shared" ca="1" si="323"/>
        <v>52.578416627975948</v>
      </c>
      <c r="Y727" s="314" t="str">
        <f t="shared" ca="1" si="341"/>
        <v/>
      </c>
      <c r="Z727" s="315" t="str">
        <f t="shared" ca="1" si="342"/>
        <v/>
      </c>
      <c r="AA727" s="316" t="str">
        <f t="shared" ca="1" si="343"/>
        <v/>
      </c>
      <c r="AC727" s="310" t="e">
        <f t="shared" ca="1" si="344"/>
        <v>#N/A</v>
      </c>
      <c r="AD727" s="323" t="e">
        <f t="shared" ca="1" si="345"/>
        <v>#N/A</v>
      </c>
      <c r="AE727" s="324" t="e">
        <f t="shared" ca="1" si="324"/>
        <v>#N/A</v>
      </c>
      <c r="AG727" s="306">
        <f t="shared" ca="1" si="346"/>
        <v>2.8027057557872324</v>
      </c>
      <c r="AH727" s="304">
        <f t="shared" ca="1" si="347"/>
        <v>-6.9877510779321073</v>
      </c>
    </row>
    <row r="728" spans="1:34" x14ac:dyDescent="0.2">
      <c r="A728" s="347">
        <f t="shared" ca="1" si="325"/>
        <v>0.1</v>
      </c>
      <c r="B728" s="304">
        <f t="shared" ca="1" si="326"/>
        <v>36.400000000000205</v>
      </c>
      <c r="D728" s="306">
        <f t="shared" ca="1" si="327"/>
        <v>-0.43997845353694393</v>
      </c>
      <c r="E728" s="307">
        <f t="shared" ca="1" si="328"/>
        <v>-2.7964658623982963</v>
      </c>
      <c r="F728" s="304">
        <f t="shared" ca="1" si="329"/>
        <v>2.8308660086863537</v>
      </c>
      <c r="G728" s="306">
        <f t="shared" ca="1" si="330"/>
        <v>8.0054052993856164</v>
      </c>
      <c r="H728" s="307">
        <f t="shared" ca="1" si="331"/>
        <v>-128.59221118824112</v>
      </c>
      <c r="I728" s="304">
        <f t="shared" ca="1" si="332"/>
        <v>128.84115527380465</v>
      </c>
      <c r="J728" s="306">
        <f t="shared" ca="1" si="333"/>
        <v>505.18594647017267</v>
      </c>
      <c r="K728" s="307">
        <f t="shared" ca="1" si="334"/>
        <v>166.46672387221156</v>
      </c>
      <c r="L728" s="304">
        <f t="shared" ca="1" si="319"/>
        <v>531.9060167620886</v>
      </c>
      <c r="M728" s="306">
        <f t="shared" ca="1" si="335"/>
        <v>-1.5086223636122364</v>
      </c>
      <c r="N728" s="304">
        <f t="shared" ca="1" si="336"/>
        <v>-86.437694314031802</v>
      </c>
      <c r="P728" s="310">
        <f t="shared" ca="1" si="337"/>
        <v>23</v>
      </c>
      <c r="Q728" s="304">
        <f t="shared" ca="1" si="338"/>
        <v>0</v>
      </c>
      <c r="R728" s="306">
        <f t="shared" ca="1" si="339"/>
        <v>0</v>
      </c>
      <c r="S728" s="307">
        <f t="shared" ca="1" si="340"/>
        <v>7.4819999999999904</v>
      </c>
      <c r="T728" s="304">
        <f t="shared" ca="1" si="320"/>
        <v>73.398419999999916</v>
      </c>
      <c r="U728" s="311">
        <f t="shared" ca="1" si="321"/>
        <v>0</v>
      </c>
      <c r="V728" s="306">
        <f t="shared" ca="1" si="322"/>
        <v>1.2047761561769208</v>
      </c>
      <c r="W728" s="304">
        <f t="shared" ca="1" si="323"/>
        <v>52.872578174132691</v>
      </c>
      <c r="Y728" s="314" t="str">
        <f t="shared" ca="1" si="341"/>
        <v/>
      </c>
      <c r="Z728" s="315" t="str">
        <f t="shared" ca="1" si="342"/>
        <v/>
      </c>
      <c r="AA728" s="316" t="str">
        <f t="shared" ca="1" si="343"/>
        <v/>
      </c>
      <c r="AC728" s="310" t="e">
        <f t="shared" ca="1" si="344"/>
        <v>#N/A</v>
      </c>
      <c r="AD728" s="323" t="e">
        <f t="shared" ca="1" si="345"/>
        <v>#N/A</v>
      </c>
      <c r="AE728" s="324" t="e">
        <f t="shared" ca="1" si="324"/>
        <v>#N/A</v>
      </c>
      <c r="AG728" s="306">
        <f t="shared" ca="1" si="346"/>
        <v>2.7634325251933971</v>
      </c>
      <c r="AH728" s="304">
        <f t="shared" ca="1" si="347"/>
        <v>-7.0273211210874118</v>
      </c>
    </row>
    <row r="729" spans="1:34" x14ac:dyDescent="0.2">
      <c r="A729" s="347">
        <f t="shared" ca="1" si="325"/>
        <v>0.1</v>
      </c>
      <c r="B729" s="304">
        <f t="shared" ca="1" si="326"/>
        <v>36.500000000000206</v>
      </c>
      <c r="D729" s="306">
        <f t="shared" ca="1" si="327"/>
        <v>-0.43907781887199565</v>
      </c>
      <c r="E729" s="307">
        <f t="shared" ca="1" si="328"/>
        <v>-2.7570169840378744</v>
      </c>
      <c r="F729" s="304">
        <f t="shared" ca="1" si="329"/>
        <v>2.7917614477778514</v>
      </c>
      <c r="G729" s="306">
        <f t="shared" ca="1" si="330"/>
        <v>7.9614975174984171</v>
      </c>
      <c r="H729" s="307">
        <f t="shared" ca="1" si="331"/>
        <v>-128.86791288664492</v>
      </c>
      <c r="I729" s="304">
        <f t="shared" ca="1" si="332"/>
        <v>129.11361049277895</v>
      </c>
      <c r="J729" s="306">
        <f t="shared" ca="1" si="333"/>
        <v>505.98429161101689</v>
      </c>
      <c r="K729" s="307">
        <f t="shared" ca="1" si="334"/>
        <v>153.59371766846726</v>
      </c>
      <c r="L729" s="304">
        <f t="shared" ca="1" si="319"/>
        <v>528.78269020867492</v>
      </c>
      <c r="M729" s="306">
        <f t="shared" ca="1" si="335"/>
        <v>-1.5090944546021356</v>
      </c>
      <c r="N729" s="304">
        <f t="shared" ca="1" si="336"/>
        <v>-86.464743135299187</v>
      </c>
      <c r="P729" s="310">
        <f t="shared" ca="1" si="337"/>
        <v>23</v>
      </c>
      <c r="Q729" s="304">
        <f t="shared" ca="1" si="338"/>
        <v>0</v>
      </c>
      <c r="R729" s="306">
        <f t="shared" ca="1" si="339"/>
        <v>0</v>
      </c>
      <c r="S729" s="307">
        <f t="shared" ca="1" si="340"/>
        <v>7.4819999999999904</v>
      </c>
      <c r="T729" s="304">
        <f t="shared" ca="1" si="320"/>
        <v>73.398419999999916</v>
      </c>
      <c r="U729" s="311">
        <f t="shared" ca="1" si="321"/>
        <v>0</v>
      </c>
      <c r="V729" s="306">
        <f t="shared" ca="1" si="322"/>
        <v>1.2063281634253726</v>
      </c>
      <c r="W729" s="304">
        <f t="shared" ca="1" si="323"/>
        <v>53.164829110490317</v>
      </c>
      <c r="Y729" s="314" t="str">
        <f t="shared" ca="1" si="341"/>
        <v/>
      </c>
      <c r="Z729" s="315" t="str">
        <f t="shared" ca="1" si="342"/>
        <v/>
      </c>
      <c r="AA729" s="316" t="str">
        <f t="shared" ca="1" si="343"/>
        <v/>
      </c>
      <c r="AC729" s="310" t="e">
        <f t="shared" ca="1" si="344"/>
        <v>#N/A</v>
      </c>
      <c r="AD729" s="323" t="e">
        <f t="shared" ca="1" si="345"/>
        <v>#N/A</v>
      </c>
      <c r="AE729" s="324" t="e">
        <f t="shared" ca="1" si="324"/>
        <v>#N/A</v>
      </c>
      <c r="AG729" s="306">
        <f t="shared" ca="1" si="346"/>
        <v>2.7244083120565765</v>
      </c>
      <c r="AH729" s="304">
        <f t="shared" ca="1" si="347"/>
        <v>-7.0666370187293186</v>
      </c>
    </row>
    <row r="730" spans="1:34" x14ac:dyDescent="0.2">
      <c r="A730" s="347">
        <f t="shared" ca="1" si="325"/>
        <v>0.1</v>
      </c>
      <c r="B730" s="304">
        <f t="shared" ca="1" si="326"/>
        <v>36.600000000000207</v>
      </c>
      <c r="D730" s="306">
        <f t="shared" ca="1" si="327"/>
        <v>-0.43815669961166936</v>
      </c>
      <c r="E730" s="307">
        <f t="shared" ca="1" si="328"/>
        <v>-2.7178242790185489</v>
      </c>
      <c r="F730" s="304">
        <f t="shared" ca="1" si="329"/>
        <v>2.7529166542119081</v>
      </c>
      <c r="G730" s="306">
        <f t="shared" ca="1" si="330"/>
        <v>7.9176818475372501</v>
      </c>
      <c r="H730" s="307">
        <f t="shared" ca="1" si="331"/>
        <v>-129.13969531454677</v>
      </c>
      <c r="I730" s="304">
        <f t="shared" ca="1" si="332"/>
        <v>129.38218807769792</v>
      </c>
      <c r="J730" s="306">
        <f t="shared" ca="1" si="333"/>
        <v>506.77825057926867</v>
      </c>
      <c r="K730" s="307">
        <f t="shared" ca="1" si="334"/>
        <v>140.69333725840767</v>
      </c>
      <c r="L730" s="304">
        <f t="shared" ca="1" si="319"/>
        <v>525.94563446148311</v>
      </c>
      <c r="M730" s="306">
        <f t="shared" ca="1" si="335"/>
        <v>-1.509561992984521</v>
      </c>
      <c r="N730" s="304">
        <f t="shared" ca="1" si="336"/>
        <v>-86.491531111370236</v>
      </c>
      <c r="P730" s="310">
        <f t="shared" ca="1" si="337"/>
        <v>23</v>
      </c>
      <c r="Q730" s="304">
        <f t="shared" ca="1" si="338"/>
        <v>0</v>
      </c>
      <c r="R730" s="306">
        <f t="shared" ca="1" si="339"/>
        <v>0</v>
      </c>
      <c r="S730" s="307">
        <f t="shared" ca="1" si="340"/>
        <v>7.4819999999999904</v>
      </c>
      <c r="T730" s="304">
        <f t="shared" ca="1" si="320"/>
        <v>73.398419999999916</v>
      </c>
      <c r="U730" s="311">
        <f t="shared" ca="1" si="321"/>
        <v>0</v>
      </c>
      <c r="V730" s="306">
        <f t="shared" ca="1" si="322"/>
        <v>1.207885461264363</v>
      </c>
      <c r="W730" s="304">
        <f t="shared" ca="1" si="323"/>
        <v>53.455160829642757</v>
      </c>
      <c r="Y730" s="314" t="str">
        <f t="shared" ca="1" si="341"/>
        <v/>
      </c>
      <c r="Z730" s="315" t="str">
        <f t="shared" ca="1" si="342"/>
        <v/>
      </c>
      <c r="AA730" s="316" t="str">
        <f t="shared" ca="1" si="343"/>
        <v/>
      </c>
      <c r="AC730" s="310" t="e">
        <f t="shared" ca="1" si="344"/>
        <v>#N/A</v>
      </c>
      <c r="AD730" s="323" t="e">
        <f t="shared" ca="1" si="345"/>
        <v>#N/A</v>
      </c>
      <c r="AE730" s="324" t="e">
        <f t="shared" ca="1" si="324"/>
        <v>#N/A</v>
      </c>
      <c r="AG730" s="306">
        <f t="shared" ca="1" si="346"/>
        <v>2.6856344395460177</v>
      </c>
      <c r="AH730" s="304">
        <f t="shared" ca="1" si="347"/>
        <v>-7.1056975555319948</v>
      </c>
    </row>
    <row r="731" spans="1:34" x14ac:dyDescent="0.2">
      <c r="A731" s="347">
        <f t="shared" ca="1" si="325"/>
        <v>0.1</v>
      </c>
      <c r="B731" s="304">
        <f t="shared" ca="1" si="326"/>
        <v>36.700000000000209</v>
      </c>
      <c r="D731" s="306">
        <f t="shared" ca="1" si="327"/>
        <v>-0.43721544146594538</v>
      </c>
      <c r="E731" s="307">
        <f t="shared" ca="1" si="328"/>
        <v>-2.6788889014542283</v>
      </c>
      <c r="F731" s="304">
        <f t="shared" ca="1" si="329"/>
        <v>2.7143328993678915</v>
      </c>
      <c r="G731" s="306">
        <f t="shared" ca="1" si="330"/>
        <v>7.873960303390656</v>
      </c>
      <c r="H731" s="307">
        <f t="shared" ca="1" si="331"/>
        <v>-129.4075842046922</v>
      </c>
      <c r="I731" s="304">
        <f t="shared" ca="1" si="332"/>
        <v>129.64691319331084</v>
      </c>
      <c r="J731" s="306">
        <f t="shared" ca="1" si="333"/>
        <v>507.56783268681505</v>
      </c>
      <c r="K731" s="307">
        <f t="shared" ca="1" si="334"/>
        <v>127.76597328244571</v>
      </c>
      <c r="L731" s="304">
        <f t="shared" ca="1" si="319"/>
        <v>523.40161320653306</v>
      </c>
      <c r="M731" s="306">
        <f t="shared" ca="1" si="335"/>
        <v>-1.5100250456591986</v>
      </c>
      <c r="N731" s="304">
        <f t="shared" ca="1" si="336"/>
        <v>-86.518062075321509</v>
      </c>
      <c r="P731" s="310">
        <f t="shared" ca="1" si="337"/>
        <v>23</v>
      </c>
      <c r="Q731" s="304">
        <f t="shared" ca="1" si="338"/>
        <v>0</v>
      </c>
      <c r="R731" s="306">
        <f t="shared" ca="1" si="339"/>
        <v>0</v>
      </c>
      <c r="S731" s="307">
        <f t="shared" ca="1" si="340"/>
        <v>7.4819999999999904</v>
      </c>
      <c r="T731" s="304">
        <f t="shared" ca="1" si="320"/>
        <v>73.398419999999916</v>
      </c>
      <c r="U731" s="311">
        <f t="shared" ca="1" si="321"/>
        <v>0</v>
      </c>
      <c r="V731" s="306">
        <f t="shared" ca="1" si="322"/>
        <v>1.2094480189725227</v>
      </c>
      <c r="W731" s="304">
        <f t="shared" ca="1" si="323"/>
        <v>53.743565203772739</v>
      </c>
      <c r="Y731" s="314" t="str">
        <f t="shared" ca="1" si="341"/>
        <v/>
      </c>
      <c r="Z731" s="315" t="str">
        <f t="shared" ca="1" si="342"/>
        <v/>
      </c>
      <c r="AA731" s="316" t="str">
        <f t="shared" ca="1" si="343"/>
        <v/>
      </c>
      <c r="AC731" s="310" t="e">
        <f t="shared" ca="1" si="344"/>
        <v>#N/A</v>
      </c>
      <c r="AD731" s="323" t="e">
        <f t="shared" ca="1" si="345"/>
        <v>#N/A</v>
      </c>
      <c r="AE731" s="324" t="e">
        <f t="shared" ca="1" si="324"/>
        <v>#N/A</v>
      </c>
      <c r="AG731" s="306">
        <f t="shared" ca="1" si="346"/>
        <v>2.6471121631154295</v>
      </c>
      <c r="AH731" s="304">
        <f t="shared" ca="1" si="347"/>
        <v>-7.144501581080303</v>
      </c>
    </row>
    <row r="732" spans="1:34" x14ac:dyDescent="0.2">
      <c r="A732" s="347">
        <f t="shared" ca="1" si="325"/>
        <v>0.1</v>
      </c>
      <c r="B732" s="304">
        <f t="shared" ca="1" si="326"/>
        <v>36.80000000000021</v>
      </c>
      <c r="D732" s="306">
        <f t="shared" ca="1" si="327"/>
        <v>-0.43625438884410728</v>
      </c>
      <c r="E732" s="307">
        <f t="shared" ca="1" si="328"/>
        <v>-2.6402119411625575</v>
      </c>
      <c r="F732" s="304">
        <f t="shared" ca="1" si="329"/>
        <v>2.6760113949763191</v>
      </c>
      <c r="G732" s="306">
        <f t="shared" ca="1" si="330"/>
        <v>7.8303348645062449</v>
      </c>
      <c r="H732" s="307">
        <f t="shared" ca="1" si="331"/>
        <v>-129.67160539880845</v>
      </c>
      <c r="I732" s="304">
        <f t="shared" ca="1" si="332"/>
        <v>129.90781112309833</v>
      </c>
      <c r="J732" s="306">
        <f t="shared" ca="1" si="333"/>
        <v>508.35304744520988</v>
      </c>
      <c r="K732" s="307">
        <f t="shared" ca="1" si="334"/>
        <v>114.81201380227068</v>
      </c>
      <c r="L732" s="304">
        <f t="shared" ca="1" si="319"/>
        <v>521.15700068229398</v>
      </c>
      <c r="M732" s="306">
        <f t="shared" ca="1" si="335"/>
        <v>-1.5104836781281228</v>
      </c>
      <c r="N732" s="304">
        <f t="shared" ca="1" si="336"/>
        <v>-86.544339780138529</v>
      </c>
      <c r="P732" s="310">
        <f t="shared" ca="1" si="337"/>
        <v>23</v>
      </c>
      <c r="Q732" s="304">
        <f t="shared" ca="1" si="338"/>
        <v>0</v>
      </c>
      <c r="R732" s="306">
        <f t="shared" ca="1" si="339"/>
        <v>0</v>
      </c>
      <c r="S732" s="307">
        <f t="shared" ca="1" si="340"/>
        <v>7.4819999999999904</v>
      </c>
      <c r="T732" s="304">
        <f t="shared" ca="1" si="320"/>
        <v>73.398419999999916</v>
      </c>
      <c r="U732" s="311">
        <f t="shared" ca="1" si="321"/>
        <v>0</v>
      </c>
      <c r="V732" s="306">
        <f t="shared" ca="1" si="322"/>
        <v>1.2110158059830463</v>
      </c>
      <c r="W732" s="304">
        <f t="shared" ca="1" si="323"/>
        <v>54.03003457852607</v>
      </c>
      <c r="Y732" s="314" t="str">
        <f t="shared" ca="1" si="341"/>
        <v/>
      </c>
      <c r="Z732" s="315" t="str">
        <f t="shared" ca="1" si="342"/>
        <v/>
      </c>
      <c r="AA732" s="316" t="str">
        <f t="shared" ca="1" si="343"/>
        <v/>
      </c>
      <c r="AC732" s="310" t="e">
        <f t="shared" ca="1" si="344"/>
        <v>#N/A</v>
      </c>
      <c r="AD732" s="323" t="e">
        <f t="shared" ca="1" si="345"/>
        <v>#N/A</v>
      </c>
      <c r="AE732" s="324" t="e">
        <f t="shared" ca="1" si="324"/>
        <v>#N/A</v>
      </c>
      <c r="AG732" s="306">
        <f t="shared" ca="1" si="346"/>
        <v>2.6088426714022237</v>
      </c>
      <c r="AH732" s="304">
        <f t="shared" ca="1" si="347"/>
        <v>-7.1830480090581137</v>
      </c>
    </row>
    <row r="733" spans="1:34" x14ac:dyDescent="0.2">
      <c r="A733" s="347">
        <f t="shared" ca="1" si="325"/>
        <v>0.1</v>
      </c>
      <c r="B733" s="304">
        <f t="shared" ca="1" si="326"/>
        <v>36.900000000000212</v>
      </c>
      <c r="D733" s="306">
        <f t="shared" ca="1" si="327"/>
        <v>-0.43527388478676426</v>
      </c>
      <c r="E733" s="307">
        <f t="shared" ca="1" si="328"/>
        <v>-2.6017944244859841</v>
      </c>
      <c r="F733" s="304">
        <f t="shared" ca="1" si="329"/>
        <v>2.6379532941399311</v>
      </c>
      <c r="G733" s="306">
        <f t="shared" ca="1" si="330"/>
        <v>7.786807476027569</v>
      </c>
      <c r="H733" s="307">
        <f t="shared" ca="1" si="331"/>
        <v>-129.93178484125704</v>
      </c>
      <c r="I733" s="304">
        <f t="shared" ca="1" si="332"/>
        <v>130.16490726268518</v>
      </c>
      <c r="J733" s="306">
        <f t="shared" ca="1" si="333"/>
        <v>509.13390456223658</v>
      </c>
      <c r="K733" s="307">
        <f t="shared" ca="1" si="334"/>
        <v>101.83184429026741</v>
      </c>
      <c r="L733" s="304">
        <f t="shared" ca="1" si="319"/>
        <v>519.21773591273427</v>
      </c>
      <c r="M733" s="306">
        <f t="shared" ca="1" si="335"/>
        <v>-1.5109379545316963</v>
      </c>
      <c r="N733" s="304">
        <f t="shared" ca="1" si="336"/>
        <v>-86.570367900795674</v>
      </c>
      <c r="P733" s="310">
        <f t="shared" ca="1" si="337"/>
        <v>23</v>
      </c>
      <c r="Q733" s="304">
        <f t="shared" ca="1" si="338"/>
        <v>0</v>
      </c>
      <c r="R733" s="306">
        <f t="shared" ca="1" si="339"/>
        <v>0</v>
      </c>
      <c r="S733" s="307">
        <f t="shared" ca="1" si="340"/>
        <v>7.4819999999999904</v>
      </c>
      <c r="T733" s="304">
        <f t="shared" ca="1" si="320"/>
        <v>73.398419999999916</v>
      </c>
      <c r="U733" s="311">
        <f t="shared" ca="1" si="321"/>
        <v>0</v>
      </c>
      <c r="V733" s="306">
        <f t="shared" ca="1" si="322"/>
        <v>1.2125887918850531</v>
      </c>
      <c r="W733" s="304">
        <f t="shared" ca="1" si="323"/>
        <v>54.314561766836498</v>
      </c>
      <c r="Y733" s="314" t="str">
        <f t="shared" ca="1" si="341"/>
        <v/>
      </c>
      <c r="Z733" s="315" t="str">
        <f t="shared" ca="1" si="342"/>
        <v/>
      </c>
      <c r="AA733" s="316" t="str">
        <f t="shared" ca="1" si="343"/>
        <v/>
      </c>
      <c r="AC733" s="310" t="e">
        <f t="shared" ca="1" si="344"/>
        <v>#N/A</v>
      </c>
      <c r="AD733" s="323" t="e">
        <f t="shared" ca="1" si="345"/>
        <v>#N/A</v>
      </c>
      <c r="AE733" s="324" t="e">
        <f t="shared" ca="1" si="324"/>
        <v>#N/A</v>
      </c>
      <c r="AG733" s="306">
        <f t="shared" ca="1" si="346"/>
        <v>2.5708270871306347</v>
      </c>
      <c r="AH733" s="304">
        <f t="shared" ca="1" si="347"/>
        <v>-7.2213358164295833</v>
      </c>
    </row>
    <row r="734" spans="1:34" x14ac:dyDescent="0.2">
      <c r="A734" s="347">
        <f t="shared" ca="1" si="325"/>
        <v>0.1</v>
      </c>
      <c r="B734" s="304">
        <f t="shared" ca="1" si="326"/>
        <v>37.000000000000213</v>
      </c>
      <c r="D734" s="306">
        <f t="shared" ca="1" si="327"/>
        <v>-0.43427427089971038</v>
      </c>
      <c r="E734" s="307">
        <f t="shared" ca="1" si="328"/>
        <v>-2.5636373151194736</v>
      </c>
      <c r="F734" s="304">
        <f t="shared" ca="1" si="329"/>
        <v>2.6001596923724626</v>
      </c>
      <c r="G734" s="306">
        <f t="shared" ca="1" si="330"/>
        <v>7.7433800489375981</v>
      </c>
      <c r="H734" s="307">
        <f t="shared" ca="1" si="331"/>
        <v>-130.18814857276899</v>
      </c>
      <c r="I734" s="304">
        <f t="shared" ca="1" si="332"/>
        <v>130.41822711334356</v>
      </c>
      <c r="J734" s="306">
        <f t="shared" ca="1" si="333"/>
        <v>509.91041393848485</v>
      </c>
      <c r="K734" s="307">
        <f t="shared" ca="1" si="334"/>
        <v>88.825847619566105</v>
      </c>
      <c r="L734" s="304">
        <f t="shared" ca="1" si="319"/>
        <v>517.58927872228128</v>
      </c>
      <c r="M734" s="306">
        <f t="shared" ca="1" si="335"/>
        <v>-1.5113879376839576</v>
      </c>
      <c r="N734" s="304">
        <f t="shared" ca="1" si="336"/>
        <v>-86.596150036272249</v>
      </c>
      <c r="P734" s="310">
        <f t="shared" ca="1" si="337"/>
        <v>23</v>
      </c>
      <c r="Q734" s="304">
        <f t="shared" ca="1" si="338"/>
        <v>0</v>
      </c>
      <c r="R734" s="306">
        <f t="shared" ca="1" si="339"/>
        <v>0</v>
      </c>
      <c r="S734" s="307">
        <f t="shared" ca="1" si="340"/>
        <v>7.4819999999999904</v>
      </c>
      <c r="T734" s="304">
        <f t="shared" ca="1" si="320"/>
        <v>73.398419999999916</v>
      </c>
      <c r="U734" s="311">
        <f t="shared" ca="1" si="321"/>
        <v>0</v>
      </c>
      <c r="V734" s="306">
        <f t="shared" ca="1" si="322"/>
        <v>1.214166946424909</v>
      </c>
      <c r="W734" s="304">
        <f t="shared" ca="1" si="323"/>
        <v>54.597140042705568</v>
      </c>
      <c r="Y734" s="314" t="str">
        <f t="shared" ca="1" si="341"/>
        <v/>
      </c>
      <c r="Z734" s="315" t="str">
        <f t="shared" ca="1" si="342"/>
        <v/>
      </c>
      <c r="AA734" s="316" t="str">
        <f t="shared" ca="1" si="343"/>
        <v/>
      </c>
      <c r="AC734" s="310">
        <f t="shared" ca="1" si="344"/>
        <v>37.000000000000213</v>
      </c>
      <c r="AD734" s="323">
        <f t="shared" ca="1" si="345"/>
        <v>509.91041393848485</v>
      </c>
      <c r="AE734" s="324" t="e">
        <f t="shared" ca="1" si="324"/>
        <v>#N/A</v>
      </c>
      <c r="AG734" s="306">
        <f t="shared" ca="1" si="346"/>
        <v>2.5330664680184052</v>
      </c>
      <c r="AH734" s="304">
        <f t="shared" ca="1" si="347"/>
        <v>-7.2593640426138153</v>
      </c>
    </row>
    <row r="735" spans="1:34" x14ac:dyDescent="0.2">
      <c r="A735" s="347">
        <f t="shared" ca="1" si="325"/>
        <v>0.1</v>
      </c>
      <c r="B735" s="304">
        <f t="shared" ca="1" si="326"/>
        <v>37.100000000000215</v>
      </c>
      <c r="D735" s="306">
        <f t="shared" ca="1" si="327"/>
        <v>-0.4332558872895978</v>
      </c>
      <c r="E735" s="307">
        <f t="shared" ca="1" si="328"/>
        <v>-2.5257415149442544</v>
      </c>
      <c r="F735" s="304">
        <f t="shared" ca="1" si="329"/>
        <v>2.5626316286551982</v>
      </c>
      <c r="G735" s="306">
        <f t="shared" ca="1" si="330"/>
        <v>7.700054460208638</v>
      </c>
      <c r="H735" s="307">
        <f t="shared" ca="1" si="331"/>
        <v>-130.44072272426342</v>
      </c>
      <c r="I735" s="304">
        <f t="shared" ca="1" si="332"/>
        <v>130.66779627558716</v>
      </c>
      <c r="J735" s="306">
        <f t="shared" ca="1" si="333"/>
        <v>510.68258566394218</v>
      </c>
      <c r="K735" s="307">
        <f t="shared" ca="1" si="334"/>
        <v>75.794404054714477</v>
      </c>
      <c r="L735" s="304">
        <f t="shared" ca="1" si="319"/>
        <v>516.27656831045408</v>
      </c>
      <c r="M735" s="306">
        <f t="shared" ca="1" si="335"/>
        <v>-1.5118336891066928</v>
      </c>
      <c r="N735" s="304">
        <f t="shared" ca="1" si="336"/>
        <v>-86.621689711506917</v>
      </c>
      <c r="P735" s="310">
        <f t="shared" ca="1" si="337"/>
        <v>23</v>
      </c>
      <c r="Q735" s="304">
        <f t="shared" ca="1" si="338"/>
        <v>0</v>
      </c>
      <c r="R735" s="306">
        <f t="shared" ca="1" si="339"/>
        <v>0</v>
      </c>
      <c r="S735" s="307">
        <f t="shared" ca="1" si="340"/>
        <v>7.4819999999999904</v>
      </c>
      <c r="T735" s="304">
        <f t="shared" ca="1" si="320"/>
        <v>73.398419999999916</v>
      </c>
      <c r="U735" s="311">
        <f t="shared" ca="1" si="321"/>
        <v>0</v>
      </c>
      <c r="V735" s="306">
        <f t="shared" ca="1" si="322"/>
        <v>1.2157502395075064</v>
      </c>
      <c r="W735" s="304">
        <f t="shared" ca="1" si="323"/>
        <v>54.877763134940906</v>
      </c>
      <c r="Y735" s="314" t="str">
        <f t="shared" ca="1" si="341"/>
        <v/>
      </c>
      <c r="Z735" s="315" t="str">
        <f t="shared" ca="1" si="342"/>
        <v/>
      </c>
      <c r="AA735" s="316" t="str">
        <f t="shared" ca="1" si="343"/>
        <v/>
      </c>
      <c r="AC735" s="310" t="e">
        <f t="shared" ca="1" si="344"/>
        <v>#N/A</v>
      </c>
      <c r="AD735" s="323" t="e">
        <f t="shared" ca="1" si="345"/>
        <v>#N/A</v>
      </c>
      <c r="AE735" s="324" t="e">
        <f t="shared" ca="1" si="324"/>
        <v>#N/A</v>
      </c>
      <c r="AG735" s="306">
        <f t="shared" ca="1" si="346"/>
        <v>2.4955618076865482</v>
      </c>
      <c r="AH735" s="304">
        <f t="shared" ca="1" si="347"/>
        <v>-7.2971317886535205</v>
      </c>
    </row>
    <row r="736" spans="1:34" x14ac:dyDescent="0.2">
      <c r="A736" s="347">
        <f t="shared" ca="1" si="325"/>
        <v>0.1</v>
      </c>
      <c r="B736" s="304">
        <f t="shared" ca="1" si="326"/>
        <v>37.200000000000216</v>
      </c>
      <c r="D736" s="306">
        <f t="shared" ca="1" si="327"/>
        <v>-0.43221907250142128</v>
      </c>
      <c r="E736" s="307">
        <f t="shared" ca="1" si="328"/>
        <v>-2.4881078648671568</v>
      </c>
      <c r="F736" s="304">
        <f t="shared" ca="1" si="329"/>
        <v>2.5253700865116366</v>
      </c>
      <c r="G736" s="306">
        <f t="shared" ca="1" si="330"/>
        <v>7.6568325529584955</v>
      </c>
      <c r="H736" s="307">
        <f t="shared" ca="1" si="331"/>
        <v>-130.68953351075015</v>
      </c>
      <c r="I736" s="304">
        <f t="shared" ca="1" si="332"/>
        <v>130.91364044285658</v>
      </c>
      <c r="J736" s="306">
        <f t="shared" ca="1" si="333"/>
        <v>511.45043001460056</v>
      </c>
      <c r="K736" s="307">
        <f t="shared" ca="1" si="334"/>
        <v>62.737891242963798</v>
      </c>
      <c r="L736" s="304">
        <f t="shared" ca="1" si="319"/>
        <v>515.28398515744095</v>
      </c>
      <c r="M736" s="306">
        <f t="shared" ca="1" si="335"/>
        <v>-1.5122752690625132</v>
      </c>
      <c r="N736" s="304">
        <f t="shared" ca="1" si="336"/>
        <v>-86.646990379293001</v>
      </c>
      <c r="P736" s="310">
        <f t="shared" ca="1" si="337"/>
        <v>23</v>
      </c>
      <c r="Q736" s="304">
        <f t="shared" ca="1" si="338"/>
        <v>0</v>
      </c>
      <c r="R736" s="306">
        <f t="shared" ca="1" si="339"/>
        <v>0</v>
      </c>
      <c r="S736" s="307">
        <f t="shared" ca="1" si="340"/>
        <v>7.4819999999999904</v>
      </c>
      <c r="T736" s="304">
        <f t="shared" ca="1" si="320"/>
        <v>73.398419999999916</v>
      </c>
      <c r="U736" s="311">
        <f t="shared" ca="1" si="321"/>
        <v>0</v>
      </c>
      <c r="V736" s="306">
        <f t="shared" ca="1" si="322"/>
        <v>1.2173386411975033</v>
      </c>
      <c r="W736" s="304">
        <f t="shared" ca="1" si="323"/>
        <v>55.156425220857166</v>
      </c>
      <c r="Y736" s="314" t="str">
        <f t="shared" ca="1" si="341"/>
        <v/>
      </c>
      <c r="Z736" s="315" t="str">
        <f t="shared" ca="1" si="342"/>
        <v/>
      </c>
      <c r="AA736" s="316" t="str">
        <f t="shared" ca="1" si="343"/>
        <v/>
      </c>
      <c r="AC736" s="310" t="e">
        <f t="shared" ca="1" si="344"/>
        <v>#N/A</v>
      </c>
      <c r="AD736" s="323" t="e">
        <f t="shared" ca="1" si="345"/>
        <v>#N/A</v>
      </c>
      <c r="AE736" s="324" t="e">
        <f t="shared" ca="1" si="324"/>
        <v>#N/A</v>
      </c>
      <c r="AG736" s="306">
        <f t="shared" ca="1" si="346"/>
        <v>2.4583140365719069</v>
      </c>
      <c r="AH736" s="304">
        <f t="shared" ca="1" si="347"/>
        <v>-7.3346382163781039</v>
      </c>
    </row>
    <row r="737" spans="1:34" x14ac:dyDescent="0.2">
      <c r="A737" s="347">
        <f t="shared" ca="1" si="325"/>
        <v>0.1</v>
      </c>
      <c r="B737" s="304">
        <f t="shared" ca="1" si="326"/>
        <v>37.300000000000217</v>
      </c>
      <c r="D737" s="306">
        <f t="shared" ca="1" si="327"/>
        <v>-0.43116416345778658</v>
      </c>
      <c r="E737" s="307">
        <f t="shared" ca="1" si="328"/>
        <v>-2.4507371456649469</v>
      </c>
      <c r="F737" s="304">
        <f t="shared" ca="1" si="329"/>
        <v>2.4883759951004638</v>
      </c>
      <c r="G737" s="306">
        <f t="shared" ca="1" si="330"/>
        <v>7.6137161366127168</v>
      </c>
      <c r="H737" s="307">
        <f t="shared" ca="1" si="331"/>
        <v>-130.93460722531665</v>
      </c>
      <c r="I737" s="304">
        <f t="shared" ca="1" si="332"/>
        <v>131.15578539529568</v>
      </c>
      <c r="J737" s="306">
        <f t="shared" ca="1" si="333"/>
        <v>512.21395744907909</v>
      </c>
      <c r="K737" s="307">
        <f t="shared" ca="1" si="334"/>
        <v>49.656684206160456</v>
      </c>
      <c r="L737" s="304">
        <f t="shared" ca="1" si="319"/>
        <v>514.61531700095884</v>
      </c>
      <c r="M737" s="306">
        <f t="shared" ca="1" si="335"/>
        <v>-1.5127127365869315</v>
      </c>
      <c r="N737" s="304">
        <f t="shared" ca="1" si="336"/>
        <v>-86.672055422116202</v>
      </c>
      <c r="P737" s="310">
        <f t="shared" ca="1" si="337"/>
        <v>23</v>
      </c>
      <c r="Q737" s="304">
        <f t="shared" ca="1" si="338"/>
        <v>0</v>
      </c>
      <c r="R737" s="306">
        <f t="shared" ca="1" si="339"/>
        <v>0</v>
      </c>
      <c r="S737" s="307">
        <f t="shared" ca="1" si="340"/>
        <v>7.4819999999999904</v>
      </c>
      <c r="T737" s="304">
        <f t="shared" ca="1" si="320"/>
        <v>73.398419999999916</v>
      </c>
      <c r="U737" s="311">
        <f t="shared" ca="1" si="321"/>
        <v>0</v>
      </c>
      <c r="V737" s="306">
        <f t="shared" ca="1" si="322"/>
        <v>1.2189321217205213</v>
      </c>
      <c r="W737" s="304">
        <f t="shared" ca="1" si="323"/>
        <v>55.433120919942759</v>
      </c>
      <c r="Y737" s="314" t="str">
        <f t="shared" ca="1" si="341"/>
        <v/>
      </c>
      <c r="Z737" s="315" t="str">
        <f t="shared" ca="1" si="342"/>
        <v/>
      </c>
      <c r="AA737" s="316" t="str">
        <f t="shared" ca="1" si="343"/>
        <v/>
      </c>
      <c r="AC737" s="310" t="e">
        <f t="shared" ca="1" si="344"/>
        <v>#N/A</v>
      </c>
      <c r="AD737" s="323" t="e">
        <f t="shared" ca="1" si="345"/>
        <v>#N/A</v>
      </c>
      <c r="AE737" s="324" t="e">
        <f t="shared" ca="1" si="324"/>
        <v>#N/A</v>
      </c>
      <c r="AG737" s="306">
        <f t="shared" ca="1" si="346"/>
        <v>2.4213240228419863</v>
      </c>
      <c r="AH737" s="304">
        <f t="shared" ca="1" si="347"/>
        <v>-7.3718825475617802</v>
      </c>
    </row>
    <row r="738" spans="1:34" x14ac:dyDescent="0.2">
      <c r="A738" s="347">
        <f t="shared" ca="1" si="325"/>
        <v>0.1</v>
      </c>
      <c r="B738" s="304">
        <f t="shared" ca="1" si="326"/>
        <v>37.400000000000219</v>
      </c>
      <c r="D738" s="306">
        <f t="shared" ca="1" si="327"/>
        <v>-0.43009149539996866</v>
      </c>
      <c r="E738" s="307">
        <f t="shared" ca="1" si="328"/>
        <v>-2.4136300788332754</v>
      </c>
      <c r="F738" s="304">
        <f t="shared" ca="1" si="329"/>
        <v>2.4516502303273411</v>
      </c>
      <c r="G738" s="306">
        <f t="shared" ca="1" si="330"/>
        <v>7.5707069870727199</v>
      </c>
      <c r="H738" s="307">
        <f t="shared" ca="1" si="331"/>
        <v>-131.17597023319999</v>
      </c>
      <c r="I738" s="304">
        <f t="shared" ca="1" si="332"/>
        <v>131.39425699362008</v>
      </c>
      <c r="J738" s="306">
        <f t="shared" ca="1" si="333"/>
        <v>512.97317860526334</v>
      </c>
      <c r="K738" s="307">
        <f t="shared" ca="1" si="334"/>
        <v>36.551155333234618</v>
      </c>
      <c r="L738" s="304">
        <f t="shared" ca="1" si="319"/>
        <v>514.273729568779</v>
      </c>
      <c r="M738" s="306">
        <f t="shared" ca="1" si="335"/>
        <v>-1.5131461495194733</v>
      </c>
      <c r="N738" s="304">
        <f t="shared" ca="1" si="336"/>
        <v>-86.696888153937238</v>
      </c>
      <c r="P738" s="310">
        <f t="shared" ca="1" si="337"/>
        <v>23</v>
      </c>
      <c r="Q738" s="304">
        <f t="shared" ca="1" si="338"/>
        <v>0</v>
      </c>
      <c r="R738" s="306">
        <f t="shared" ca="1" si="339"/>
        <v>0</v>
      </c>
      <c r="S738" s="307">
        <f t="shared" ca="1" si="340"/>
        <v>7.4819999999999904</v>
      </c>
      <c r="T738" s="304">
        <f t="shared" ca="1" si="320"/>
        <v>73.398419999999916</v>
      </c>
      <c r="U738" s="311">
        <f t="shared" ca="1" si="321"/>
        <v>0</v>
      </c>
      <c r="V738" s="306">
        <f t="shared" ca="1" si="322"/>
        <v>1.2205306514643071</v>
      </c>
      <c r="W738" s="304">
        <f t="shared" ca="1" si="323"/>
        <v>55.707845287496838</v>
      </c>
      <c r="Y738" s="314" t="str">
        <f t="shared" ca="1" si="341"/>
        <v/>
      </c>
      <c r="Z738" s="315" t="str">
        <f t="shared" ca="1" si="342"/>
        <v/>
      </c>
      <c r="AA738" s="316" t="str">
        <f t="shared" ca="1" si="343"/>
        <v/>
      </c>
      <c r="AC738" s="310" t="e">
        <f t="shared" ca="1" si="344"/>
        <v>#N/A</v>
      </c>
      <c r="AD738" s="323" t="e">
        <f t="shared" ca="1" si="345"/>
        <v>#N/A</v>
      </c>
      <c r="AE738" s="324" t="e">
        <f t="shared" ca="1" si="324"/>
        <v>#N/A</v>
      </c>
      <c r="AG738" s="306">
        <f t="shared" ca="1" si="346"/>
        <v>2.3845925733118003</v>
      </c>
      <c r="AH738" s="304">
        <f t="shared" ca="1" si="347"/>
        <v>-7.4088640630770959</v>
      </c>
    </row>
    <row r="739" spans="1:34" x14ac:dyDescent="0.2">
      <c r="A739" s="347">
        <f t="shared" ca="1" si="325"/>
        <v>0.1</v>
      </c>
      <c r="B739" s="304">
        <f t="shared" ca="1" si="326"/>
        <v>37.50000000000022</v>
      </c>
      <c r="D739" s="306">
        <f t="shared" ca="1" si="327"/>
        <v>-0.42900140183074181</v>
      </c>
      <c r="E739" s="307">
        <f t="shared" ca="1" si="328"/>
        <v>-2.3767873274395974</v>
      </c>
      <c r="F739" s="304">
        <f t="shared" ca="1" si="329"/>
        <v>2.4151936159757885</v>
      </c>
      <c r="G739" s="306">
        <f t="shared" ca="1" si="330"/>
        <v>7.5278068468896455</v>
      </c>
      <c r="H739" s="307">
        <f t="shared" ca="1" si="331"/>
        <v>-131.41364896594396</v>
      </c>
      <c r="I739" s="304">
        <f t="shared" ca="1" si="332"/>
        <v>131.62908117307674</v>
      </c>
      <c r="J739" s="306">
        <f t="shared" ca="1" si="333"/>
        <v>513.72810429696142</v>
      </c>
      <c r="K739" s="307">
        <f t="shared" ca="1" si="334"/>
        <v>23.421674373277419</v>
      </c>
      <c r="L739" s="304">
        <f t="shared" ca="1" si="319"/>
        <v>514.26174267098418</v>
      </c>
      <c r="M739" s="306">
        <f t="shared" ca="1" si="335"/>
        <v>-1.5135755645338587</v>
      </c>
      <c r="N739" s="304">
        <f t="shared" ca="1" si="336"/>
        <v>-86.721491821921077</v>
      </c>
      <c r="P739" s="310">
        <f t="shared" ca="1" si="337"/>
        <v>23</v>
      </c>
      <c r="Q739" s="304">
        <f t="shared" ca="1" si="338"/>
        <v>0</v>
      </c>
      <c r="R739" s="306">
        <f t="shared" ca="1" si="339"/>
        <v>0</v>
      </c>
      <c r="S739" s="307">
        <f t="shared" ca="1" si="340"/>
        <v>7.4819999999999904</v>
      </c>
      <c r="T739" s="304">
        <f t="shared" ca="1" si="320"/>
        <v>73.398419999999916</v>
      </c>
      <c r="U739" s="311">
        <f t="shared" ca="1" si="321"/>
        <v>0</v>
      </c>
      <c r="V739" s="306">
        <f t="shared" ca="1" si="322"/>
        <v>1.2221342009798473</v>
      </c>
      <c r="W739" s="304">
        <f t="shared" ca="1" si="323"/>
        <v>55.98059380823895</v>
      </c>
      <c r="Y739" s="314" t="str">
        <f t="shared" ca="1" si="341"/>
        <v/>
      </c>
      <c r="Z739" s="315" t="str">
        <f t="shared" ca="1" si="342"/>
        <v/>
      </c>
      <c r="AA739" s="316" t="str">
        <f t="shared" ca="1" si="343"/>
        <v/>
      </c>
      <c r="AC739" s="310" t="e">
        <f t="shared" ca="1" si="344"/>
        <v>#N/A</v>
      </c>
      <c r="AD739" s="323" t="e">
        <f t="shared" ca="1" si="345"/>
        <v>#N/A</v>
      </c>
      <c r="AE739" s="324" t="e">
        <f t="shared" ca="1" si="324"/>
        <v>#N/A</v>
      </c>
      <c r="AG739" s="306">
        <f t="shared" ca="1" si="346"/>
        <v>2.3481204343622144</v>
      </c>
      <c r="AH739" s="304">
        <f t="shared" ca="1" si="347"/>
        <v>-7.4455821020444946</v>
      </c>
    </row>
    <row r="740" spans="1:34" x14ac:dyDescent="0.2">
      <c r="A740" s="347">
        <f t="shared" ca="1" si="325"/>
        <v>0.1</v>
      </c>
      <c r="B740" s="304">
        <f t="shared" ca="1" si="326"/>
        <v>37.600000000000222</v>
      </c>
      <c r="D740" s="306">
        <f t="shared" ca="1" si="327"/>
        <v>-0.42789421445894982</v>
      </c>
      <c r="E740" s="307">
        <f t="shared" ca="1" si="328"/>
        <v>-2.340209496979786</v>
      </c>
      <c r="F740" s="304">
        <f t="shared" ca="1" si="329"/>
        <v>2.3790069248578964</v>
      </c>
      <c r="G740" s="306">
        <f t="shared" ca="1" si="330"/>
        <v>7.4850174254437505</v>
      </c>
      <c r="H740" s="307">
        <f t="shared" ca="1" si="331"/>
        <v>-131.64766991564196</v>
      </c>
      <c r="I740" s="304">
        <f t="shared" ca="1" si="332"/>
        <v>131.86028393749581</v>
      </c>
      <c r="J740" s="306">
        <f t="shared" ca="1" si="333"/>
        <v>514.47874551057805</v>
      </c>
      <c r="K740" s="307">
        <f t="shared" ca="1" si="334"/>
        <v>10.268608429198123</v>
      </c>
      <c r="L740" s="304">
        <f t="shared" ca="1" si="319"/>
        <v>514.58121215334938</v>
      </c>
      <c r="M740" s="306">
        <f t="shared" ca="1" si="335"/>
        <v>-1.5140010371672832</v>
      </c>
      <c r="N740" s="304">
        <f t="shared" ca="1" si="336"/>
        <v>-86.745869608114617</v>
      </c>
      <c r="P740" s="310">
        <f t="shared" ca="1" si="337"/>
        <v>23</v>
      </c>
      <c r="Q740" s="304">
        <f t="shared" ca="1" si="338"/>
        <v>0</v>
      </c>
      <c r="R740" s="306">
        <f t="shared" ca="1" si="339"/>
        <v>0</v>
      </c>
      <c r="S740" s="307">
        <f t="shared" ca="1" si="340"/>
        <v>7.4819999999999904</v>
      </c>
      <c r="T740" s="304">
        <f t="shared" ca="1" si="320"/>
        <v>73.398419999999916</v>
      </c>
      <c r="U740" s="311">
        <f t="shared" ca="1" si="321"/>
        <v>0</v>
      </c>
      <c r="V740" s="306">
        <f t="shared" ca="1" si="322"/>
        <v>1.2237427409824508</v>
      </c>
      <c r="W740" s="304">
        <f t="shared" ca="1" si="323"/>
        <v>56.251362389895995</v>
      </c>
      <c r="Y740" s="314" t="str">
        <f t="shared" ca="1" si="341"/>
        <v/>
      </c>
      <c r="Z740" s="315" t="str">
        <f t="shared" ca="1" si="342"/>
        <v/>
      </c>
      <c r="AA740" s="316" t="str">
        <f t="shared" ca="1" si="343"/>
        <v/>
      </c>
      <c r="AC740" s="310" t="e">
        <f t="shared" ca="1" si="344"/>
        <v>#N/A</v>
      </c>
      <c r="AD740" s="323" t="e">
        <f t="shared" ca="1" si="345"/>
        <v>#N/A</v>
      </c>
      <c r="AE740" s="324" t="e">
        <f t="shared" ca="1" si="324"/>
        <v>#N/A</v>
      </c>
      <c r="AG740" s="306">
        <f t="shared" ca="1" si="346"/>
        <v>2.3119082928595684</v>
      </c>
      <c r="AH740" s="304">
        <f t="shared" ca="1" si="347"/>
        <v>-7.4820360609782171</v>
      </c>
    </row>
    <row r="741" spans="1:34" x14ac:dyDescent="0.2">
      <c r="A741" s="347">
        <f t="shared" ca="1" si="325"/>
        <v>0.1</v>
      </c>
      <c r="B741" s="304">
        <f t="shared" ca="1" si="326"/>
        <v>37.700000000000223</v>
      </c>
      <c r="D741" s="306">
        <f t="shared" ca="1" si="327"/>
        <v>-0.42677026314582739</v>
      </c>
      <c r="E741" s="307">
        <f t="shared" ca="1" si="328"/>
        <v>-2.3038971362377776</v>
      </c>
      <c r="F741" s="304">
        <f t="shared" ca="1" si="329"/>
        <v>2.3430908799852794</v>
      </c>
      <c r="G741" s="306">
        <f t="shared" ca="1" si="330"/>
        <v>7.4423403991291677</v>
      </c>
      <c r="H741" s="307">
        <f t="shared" ca="1" si="331"/>
        <v>-131.87805962926572</v>
      </c>
      <c r="I741" s="304">
        <f t="shared" ca="1" si="332"/>
        <v>132.08789135343434</v>
      </c>
      <c r="J741" s="306">
        <f t="shared" ca="1" si="333"/>
        <v>515.22511340180665</v>
      </c>
      <c r="K741" s="307">
        <f t="shared" ca="1" si="334"/>
        <v>-2.907678048047261</v>
      </c>
      <c r="L741" s="304">
        <f t="shared" ca="1" si="319"/>
        <v>515.23331809145998</v>
      </c>
      <c r="M741" s="306">
        <f t="shared" ca="1" si="335"/>
        <v>-1.5144226218488328</v>
      </c>
      <c r="N741" s="304">
        <f t="shared" ca="1" si="336"/>
        <v>-86.770024631074776</v>
      </c>
      <c r="P741" s="310">
        <f t="shared" ca="1" si="337"/>
        <v>23</v>
      </c>
      <c r="Q741" s="304">
        <f t="shared" ca="1" si="338"/>
        <v>0</v>
      </c>
      <c r="R741" s="306">
        <f t="shared" ca="1" si="339"/>
        <v>0</v>
      </c>
      <c r="S741" s="307">
        <f t="shared" ca="1" si="340"/>
        <v>7.4819999999999904</v>
      </c>
      <c r="T741" s="304">
        <f t="shared" ca="1" si="320"/>
        <v>73.398419999999916</v>
      </c>
      <c r="U741" s="311">
        <f t="shared" ca="1" si="321"/>
        <v>0</v>
      </c>
      <c r="V741" s="306">
        <f t="shared" ca="1" si="322"/>
        <v>1.2253562423527893</v>
      </c>
      <c r="W741" s="304">
        <f t="shared" ca="1" si="323"/>
        <v>56.520147356769442</v>
      </c>
      <c r="Y741" s="314" t="str">
        <f t="shared" ca="1" si="341"/>
        <v>Impact balistique</v>
      </c>
      <c r="Z741" s="315" t="str">
        <f t="shared" ca="1" si="342"/>
        <v/>
      </c>
      <c r="AA741" s="316" t="str">
        <f t="shared" ca="1" si="343"/>
        <v/>
      </c>
      <c r="AC741" s="310" t="e">
        <f t="shared" ca="1" si="344"/>
        <v>#N/A</v>
      </c>
      <c r="AD741" s="323" t="e">
        <f t="shared" ca="1" si="345"/>
        <v>#N/A</v>
      </c>
      <c r="AE741" s="324" t="e">
        <f t="shared" ca="1" si="324"/>
        <v>#N/A</v>
      </c>
      <c r="AG741" s="306">
        <f t="shared" ca="1" si="346"/>
        <v>2.2759567770760532</v>
      </c>
      <c r="AH741" s="304">
        <f t="shared" ca="1" si="347"/>
        <v>-7.518225392929172</v>
      </c>
    </row>
    <row r="742" spans="1:34" x14ac:dyDescent="0.2">
      <c r="A742" s="347">
        <f t="shared" ca="1" si="325"/>
        <v>1E-4</v>
      </c>
      <c r="B742" s="304">
        <f t="shared" ca="1" si="326"/>
        <v>37.700100000000226</v>
      </c>
      <c r="D742" s="306">
        <f t="shared" ca="1" si="327"/>
        <v>-0.42562987585304041</v>
      </c>
      <c r="E742" s="307">
        <f t="shared" ca="1" si="328"/>
        <v>-2.2678507381478781</v>
      </c>
      <c r="F742" s="304">
        <f t="shared" ca="1" si="329"/>
        <v>2.3074461557610721</v>
      </c>
      <c r="G742" s="306">
        <f t="shared" ca="1" si="330"/>
        <v>7.4422978361415826</v>
      </c>
      <c r="H742" s="307">
        <f t="shared" ca="1" si="331"/>
        <v>-131.87828641433953</v>
      </c>
      <c r="I742" s="304">
        <f t="shared" ca="1" si="332"/>
        <v>132.08811538009166</v>
      </c>
      <c r="J742" s="306">
        <f t="shared" ca="1" si="333"/>
        <v>515.22511340180665</v>
      </c>
      <c r="K742" s="307">
        <f t="shared" ca="1" si="334"/>
        <v>-2.9208658653494415</v>
      </c>
      <c r="L742" s="304">
        <f t="shared" ca="1" si="319"/>
        <v>515.23339268462394</v>
      </c>
      <c r="M742" s="306">
        <f t="shared" ca="1" si="335"/>
        <v>-1.5144230403067473</v>
      </c>
      <c r="N742" s="304">
        <f t="shared" ca="1" si="336"/>
        <v>-86.770048606947185</v>
      </c>
      <c r="P742" s="310">
        <f t="shared" ca="1" si="337"/>
        <v>23</v>
      </c>
      <c r="Q742" s="304">
        <f t="shared" ca="1" si="338"/>
        <v>0</v>
      </c>
      <c r="R742" s="306">
        <f t="shared" ca="1" si="339"/>
        <v>0</v>
      </c>
      <c r="S742" s="307">
        <f t="shared" ca="1" si="340"/>
        <v>7.4819999999999904</v>
      </c>
      <c r="T742" s="304">
        <f t="shared" ca="1" si="320"/>
        <v>73.398419999999916</v>
      </c>
      <c r="U742" s="311">
        <f t="shared" ca="1" si="321"/>
        <v>0</v>
      </c>
      <c r="V742" s="306">
        <f t="shared" ca="1" si="322"/>
        <v>1.2253578583313145</v>
      </c>
      <c r="W742" s="304">
        <f t="shared" ca="1" si="323"/>
        <v>56.520413616100107</v>
      </c>
      <c r="Y742" s="314" t="str">
        <f t="shared" ca="1" si="341"/>
        <v/>
      </c>
      <c r="Z742" s="315" t="str">
        <f t="shared" ca="1" si="342"/>
        <v/>
      </c>
      <c r="AA742" s="316" t="str">
        <f t="shared" ca="1" si="343"/>
        <v/>
      </c>
      <c r="AC742" s="310" t="e">
        <f t="shared" ca="1" si="344"/>
        <v>#N/A</v>
      </c>
      <c r="AD742" s="323" t="e">
        <f t="shared" ca="1" si="345"/>
        <v>#N/A</v>
      </c>
      <c r="AE742" s="324" t="e">
        <f t="shared" ca="1" si="324"/>
        <v>#N/A</v>
      </c>
      <c r="AG742" s="306">
        <f t="shared" ca="1" si="346"/>
        <v>2.2402664576105291</v>
      </c>
      <c r="AH742" s="304">
        <f t="shared" ca="1" si="347"/>
        <v>-7.5541496066251685</v>
      </c>
    </row>
    <row r="743" spans="1:34" x14ac:dyDescent="0.2">
      <c r="A743" s="347">
        <f t="shared" ca="1" si="325"/>
        <v>1E-4</v>
      </c>
      <c r="B743" s="304">
        <f t="shared" ca="1" si="326"/>
        <v>37.70020000000023</v>
      </c>
      <c r="D743" s="306">
        <f t="shared" ca="1" si="327"/>
        <v>-0.42562872485508607</v>
      </c>
      <c r="E743" s="307">
        <f t="shared" ca="1" si="328"/>
        <v>-2.267815029919575</v>
      </c>
      <c r="F743" s="304">
        <f t="shared" ca="1" si="329"/>
        <v>2.3074108479746056</v>
      </c>
      <c r="G743" s="306">
        <f t="shared" ca="1" si="330"/>
        <v>7.4422552732690974</v>
      </c>
      <c r="H743" s="307">
        <f t="shared" ca="1" si="331"/>
        <v>-131.87851319584252</v>
      </c>
      <c r="I743" s="304">
        <f t="shared" ca="1" si="332"/>
        <v>132.08833940321344</v>
      </c>
      <c r="J743" s="306">
        <f t="shared" ca="1" si="333"/>
        <v>515.22511340180665</v>
      </c>
      <c r="K743" s="307">
        <f t="shared" ca="1" si="334"/>
        <v>-2.9340537053299505</v>
      </c>
      <c r="L743" s="304">
        <f t="shared" ca="1" si="319"/>
        <v>515.23346761545906</v>
      </c>
      <c r="M743" s="306">
        <f t="shared" ca="1" si="335"/>
        <v>-1.5144234587608494</v>
      </c>
      <c r="N743" s="304">
        <f t="shared" ca="1" si="336"/>
        <v>-86.770072582601145</v>
      </c>
      <c r="P743" s="310">
        <f t="shared" ca="1" si="337"/>
        <v>23</v>
      </c>
      <c r="Q743" s="304">
        <f t="shared" ca="1" si="338"/>
        <v>0</v>
      </c>
      <c r="R743" s="306">
        <f t="shared" ca="1" si="339"/>
        <v>0</v>
      </c>
      <c r="S743" s="307">
        <f t="shared" ca="1" si="340"/>
        <v>7.4819999999999904</v>
      </c>
      <c r="T743" s="304">
        <f t="shared" ca="1" si="320"/>
        <v>73.398419999999916</v>
      </c>
      <c r="U743" s="311">
        <f t="shared" ca="1" si="321"/>
        <v>0</v>
      </c>
      <c r="V743" s="306">
        <f t="shared" ca="1" si="322"/>
        <v>1.22535947431475</v>
      </c>
      <c r="W743" s="304">
        <f t="shared" ca="1" si="323"/>
        <v>56.520679873462399</v>
      </c>
      <c r="Y743" s="314" t="str">
        <f t="shared" ca="1" si="341"/>
        <v/>
      </c>
      <c r="Z743" s="315" t="str">
        <f t="shared" ca="1" si="342"/>
        <v/>
      </c>
      <c r="AA743" s="316" t="str">
        <f t="shared" ca="1" si="343"/>
        <v/>
      </c>
      <c r="AC743" s="310" t="e">
        <f t="shared" ca="1" si="344"/>
        <v>#N/A</v>
      </c>
      <c r="AD743" s="323" t="e">
        <f t="shared" ca="1" si="345"/>
        <v>#N/A</v>
      </c>
      <c r="AE743" s="324" t="e">
        <f t="shared" ca="1" si="324"/>
        <v>#N/A</v>
      </c>
      <c r="AG743" s="306">
        <f t="shared" ca="1" si="346"/>
        <v>2.2402311022531878</v>
      </c>
      <c r="AH743" s="304">
        <f t="shared" ca="1" si="347"/>
        <v>-7.554185193277223</v>
      </c>
    </row>
    <row r="744" spans="1:34" x14ac:dyDescent="0.2">
      <c r="A744" s="347">
        <f t="shared" ca="1" si="325"/>
        <v>1E-4</v>
      </c>
      <c r="B744" s="304">
        <f t="shared" ca="1" si="326"/>
        <v>37.700300000000233</v>
      </c>
      <c r="D744" s="306">
        <f t="shared" ca="1" si="327"/>
        <v>-0.42562757384125327</v>
      </c>
      <c r="E744" s="307">
        <f t="shared" ca="1" si="328"/>
        <v>-2.267779321955202</v>
      </c>
      <c r="F744" s="304">
        <f t="shared" ca="1" si="329"/>
        <v>2.3073755404575103</v>
      </c>
      <c r="G744" s="306">
        <f t="shared" ca="1" si="330"/>
        <v>7.4422127105117131</v>
      </c>
      <c r="H744" s="307">
        <f t="shared" ca="1" si="331"/>
        <v>-131.87873997377471</v>
      </c>
      <c r="I744" s="304">
        <f t="shared" ca="1" si="332"/>
        <v>132.08856342279972</v>
      </c>
      <c r="J744" s="306">
        <f t="shared" ca="1" si="333"/>
        <v>515.22511340180665</v>
      </c>
      <c r="K744" s="307">
        <f t="shared" ca="1" si="334"/>
        <v>-2.9472415679884314</v>
      </c>
      <c r="L744" s="304">
        <f t="shared" ca="1" si="319"/>
        <v>515.23354288396695</v>
      </c>
      <c r="M744" s="306">
        <f t="shared" ca="1" si="335"/>
        <v>-1.5144238772111389</v>
      </c>
      <c r="N744" s="304">
        <f t="shared" ca="1" si="336"/>
        <v>-86.77009655803667</v>
      </c>
      <c r="P744" s="310">
        <f t="shared" ca="1" si="337"/>
        <v>23</v>
      </c>
      <c r="Q744" s="304">
        <f t="shared" ca="1" si="338"/>
        <v>0</v>
      </c>
      <c r="R744" s="306">
        <f t="shared" ca="1" si="339"/>
        <v>0</v>
      </c>
      <c r="S744" s="307">
        <f t="shared" ca="1" si="340"/>
        <v>7.4819999999999904</v>
      </c>
      <c r="T744" s="304">
        <f t="shared" ca="1" si="320"/>
        <v>73.398419999999916</v>
      </c>
      <c r="U744" s="311">
        <f t="shared" ca="1" si="321"/>
        <v>0</v>
      </c>
      <c r="V744" s="306">
        <f t="shared" ca="1" si="322"/>
        <v>1.2253610903030963</v>
      </c>
      <c r="W744" s="304">
        <f t="shared" ca="1" si="323"/>
        <v>56.520946128856345</v>
      </c>
      <c r="Y744" s="314" t="str">
        <f t="shared" ca="1" si="341"/>
        <v/>
      </c>
      <c r="Z744" s="315" t="str">
        <f t="shared" ca="1" si="342"/>
        <v/>
      </c>
      <c r="AA744" s="316" t="str">
        <f t="shared" ca="1" si="343"/>
        <v/>
      </c>
      <c r="AC744" s="310" t="e">
        <f t="shared" ca="1" si="344"/>
        <v>#N/A</v>
      </c>
      <c r="AD744" s="323" t="e">
        <f t="shared" ca="1" si="345"/>
        <v>#N/A</v>
      </c>
      <c r="AE744" s="324" t="e">
        <f t="shared" ca="1" si="324"/>
        <v>#N/A</v>
      </c>
      <c r="AG744" s="306">
        <f t="shared" ca="1" si="346"/>
        <v>2.2401957471551084</v>
      </c>
      <c r="AH744" s="304">
        <f t="shared" ca="1" si="347"/>
        <v>-7.5542207796661947</v>
      </c>
    </row>
    <row r="745" spans="1:34" x14ac:dyDescent="0.2">
      <c r="A745" s="347">
        <f t="shared" ca="1" si="325"/>
        <v>1E-4</v>
      </c>
      <c r="B745" s="304">
        <f t="shared" ca="1" si="326"/>
        <v>37.700400000000236</v>
      </c>
      <c r="D745" s="306">
        <f t="shared" ca="1" si="327"/>
        <v>-0.42562642281154328</v>
      </c>
      <c r="E745" s="307">
        <f t="shared" ca="1" si="328"/>
        <v>-2.2677436142547531</v>
      </c>
      <c r="F745" s="304">
        <f t="shared" ca="1" si="329"/>
        <v>2.3073402332097799</v>
      </c>
      <c r="G745" s="306">
        <f t="shared" ca="1" si="330"/>
        <v>7.4421701478694322</v>
      </c>
      <c r="H745" s="307">
        <f t="shared" ca="1" si="331"/>
        <v>-131.87896674813615</v>
      </c>
      <c r="I745" s="304">
        <f t="shared" ca="1" si="332"/>
        <v>132.08878743885055</v>
      </c>
      <c r="J745" s="306">
        <f t="shared" ca="1" si="333"/>
        <v>515.22511340180665</v>
      </c>
      <c r="K745" s="307">
        <f t="shared" ca="1" si="334"/>
        <v>-2.9604294533245268</v>
      </c>
      <c r="L745" s="304">
        <f t="shared" ca="1" si="319"/>
        <v>515.23361849014918</v>
      </c>
      <c r="M745" s="306">
        <f t="shared" ca="1" si="335"/>
        <v>-1.5144242956576159</v>
      </c>
      <c r="N745" s="304">
        <f t="shared" ca="1" si="336"/>
        <v>-86.77012053325376</v>
      </c>
      <c r="P745" s="310">
        <f t="shared" ca="1" si="337"/>
        <v>23</v>
      </c>
      <c r="Q745" s="304">
        <f t="shared" ca="1" si="338"/>
        <v>0</v>
      </c>
      <c r="R745" s="306">
        <f t="shared" ca="1" si="339"/>
        <v>0</v>
      </c>
      <c r="S745" s="307">
        <f t="shared" ca="1" si="340"/>
        <v>7.4819999999999904</v>
      </c>
      <c r="T745" s="304">
        <f t="shared" ca="1" si="320"/>
        <v>73.398419999999916</v>
      </c>
      <c r="U745" s="311">
        <f t="shared" ca="1" si="321"/>
        <v>0</v>
      </c>
      <c r="V745" s="306">
        <f t="shared" ca="1" si="322"/>
        <v>1.2253627062963524</v>
      </c>
      <c r="W745" s="304">
        <f t="shared" ca="1" si="323"/>
        <v>56.521212382281909</v>
      </c>
      <c r="Y745" s="314" t="str">
        <f t="shared" ca="1" si="341"/>
        <v/>
      </c>
      <c r="Z745" s="315" t="str">
        <f t="shared" ca="1" si="342"/>
        <v/>
      </c>
      <c r="AA745" s="316" t="str">
        <f t="shared" ca="1" si="343"/>
        <v/>
      </c>
      <c r="AC745" s="310" t="e">
        <f t="shared" ca="1" si="344"/>
        <v>#N/A</v>
      </c>
      <c r="AD745" s="323" t="e">
        <f t="shared" ca="1" si="345"/>
        <v>#N/A</v>
      </c>
      <c r="AE745" s="324" t="e">
        <f t="shared" ca="1" si="324"/>
        <v>#N/A</v>
      </c>
      <c r="AG745" s="306">
        <f t="shared" ca="1" si="346"/>
        <v>2.2401603923162829</v>
      </c>
      <c r="AH745" s="304">
        <f t="shared" ca="1" si="347"/>
        <v>-7.5542563657920896</v>
      </c>
    </row>
    <row r="746" spans="1:34" x14ac:dyDescent="0.2">
      <c r="A746" s="347">
        <f t="shared" ca="1" si="325"/>
        <v>1E-4</v>
      </c>
      <c r="B746" s="304">
        <f t="shared" ca="1" si="326"/>
        <v>37.70050000000024</v>
      </c>
      <c r="D746" s="306">
        <f t="shared" ca="1" si="327"/>
        <v>-0.42562527176595638</v>
      </c>
      <c r="E746" s="307">
        <f t="shared" ca="1" si="328"/>
        <v>-2.2677079068182344</v>
      </c>
      <c r="F746" s="304">
        <f t="shared" ca="1" si="329"/>
        <v>2.3073049262314207</v>
      </c>
      <c r="G746" s="306">
        <f t="shared" ca="1" si="330"/>
        <v>7.4421275853422557</v>
      </c>
      <c r="H746" s="307">
        <f t="shared" ca="1" si="331"/>
        <v>-131.87919351892683</v>
      </c>
      <c r="I746" s="304">
        <f t="shared" ca="1" si="332"/>
        <v>132.08901145136588</v>
      </c>
      <c r="J746" s="306">
        <f t="shared" ca="1" si="333"/>
        <v>515.22511340180665</v>
      </c>
      <c r="K746" s="307">
        <f t="shared" ca="1" si="334"/>
        <v>-2.97361736133788</v>
      </c>
      <c r="L746" s="304">
        <f t="shared" ca="1" si="319"/>
        <v>515.23369443400748</v>
      </c>
      <c r="M746" s="306">
        <f t="shared" ca="1" si="335"/>
        <v>-1.5144247141002805</v>
      </c>
      <c r="N746" s="304">
        <f t="shared" ca="1" si="336"/>
        <v>-86.7701445082524</v>
      </c>
      <c r="P746" s="310">
        <f t="shared" ca="1" si="337"/>
        <v>23</v>
      </c>
      <c r="Q746" s="304">
        <f t="shared" ca="1" si="338"/>
        <v>0</v>
      </c>
      <c r="R746" s="306">
        <f t="shared" ca="1" si="339"/>
        <v>0</v>
      </c>
      <c r="S746" s="307">
        <f t="shared" ca="1" si="340"/>
        <v>7.4819999999999904</v>
      </c>
      <c r="T746" s="304">
        <f t="shared" ca="1" si="320"/>
        <v>73.398419999999916</v>
      </c>
      <c r="U746" s="311">
        <f t="shared" ca="1" si="321"/>
        <v>0</v>
      </c>
      <c r="V746" s="306">
        <f t="shared" ca="1" si="322"/>
        <v>1.225364322294519</v>
      </c>
      <c r="W746" s="304">
        <f t="shared" ca="1" si="323"/>
        <v>56.521478633739065</v>
      </c>
      <c r="Y746" s="314" t="str">
        <f t="shared" ca="1" si="341"/>
        <v/>
      </c>
      <c r="Z746" s="315" t="str">
        <f t="shared" ca="1" si="342"/>
        <v/>
      </c>
      <c r="AA746" s="316" t="str">
        <f t="shared" ca="1" si="343"/>
        <v/>
      </c>
      <c r="AC746" s="310" t="e">
        <f t="shared" ca="1" si="344"/>
        <v>#N/A</v>
      </c>
      <c r="AD746" s="323" t="e">
        <f t="shared" ca="1" si="345"/>
        <v>#N/A</v>
      </c>
      <c r="AE746" s="324" t="e">
        <f t="shared" ca="1" si="324"/>
        <v>#N/A</v>
      </c>
      <c r="AG746" s="306">
        <f t="shared" ca="1" si="346"/>
        <v>2.2401250377367132</v>
      </c>
      <c r="AH746" s="304">
        <f t="shared" ca="1" si="347"/>
        <v>-7.5542919516549025</v>
      </c>
    </row>
    <row r="747" spans="1:34" x14ac:dyDescent="0.2">
      <c r="A747" s="347">
        <f t="shared" ca="1" si="325"/>
        <v>1E-4</v>
      </c>
      <c r="B747" s="304">
        <f t="shared" ca="1" si="326"/>
        <v>37.700600000000243</v>
      </c>
      <c r="D747" s="306">
        <f t="shared" ca="1" si="327"/>
        <v>-0.42562412070449318</v>
      </c>
      <c r="E747" s="307">
        <f t="shared" ca="1" si="328"/>
        <v>-2.2676721996456486</v>
      </c>
      <c r="F747" s="304">
        <f t="shared" ca="1" si="329"/>
        <v>2.3072696195224363</v>
      </c>
      <c r="G747" s="306">
        <f t="shared" ca="1" si="330"/>
        <v>7.4420850229301854</v>
      </c>
      <c r="H747" s="307">
        <f t="shared" ca="1" si="331"/>
        <v>-131.8794202861468</v>
      </c>
      <c r="I747" s="304">
        <f t="shared" ca="1" si="332"/>
        <v>132.08923546034578</v>
      </c>
      <c r="J747" s="306">
        <f t="shared" ca="1" si="333"/>
        <v>515.22511340180665</v>
      </c>
      <c r="K747" s="307">
        <f t="shared" ca="1" si="334"/>
        <v>-2.9868052920281336</v>
      </c>
      <c r="L747" s="304">
        <f t="shared" ca="1" si="319"/>
        <v>515.2337707155433</v>
      </c>
      <c r="M747" s="306">
        <f t="shared" ca="1" si="335"/>
        <v>-1.5144251325391327</v>
      </c>
      <c r="N747" s="304">
        <f t="shared" ca="1" si="336"/>
        <v>-86.77016848303262</v>
      </c>
      <c r="P747" s="310">
        <f t="shared" ca="1" si="337"/>
        <v>23</v>
      </c>
      <c r="Q747" s="304">
        <f t="shared" ca="1" si="338"/>
        <v>0</v>
      </c>
      <c r="R747" s="306">
        <f t="shared" ca="1" si="339"/>
        <v>0</v>
      </c>
      <c r="S747" s="307">
        <f t="shared" ca="1" si="340"/>
        <v>7.4819999999999904</v>
      </c>
      <c r="T747" s="304">
        <f t="shared" ca="1" si="320"/>
        <v>73.398419999999916</v>
      </c>
      <c r="U747" s="311">
        <f t="shared" ca="1" si="321"/>
        <v>0</v>
      </c>
      <c r="V747" s="306">
        <f t="shared" ca="1" si="322"/>
        <v>1.2253659382975957</v>
      </c>
      <c r="W747" s="304">
        <f t="shared" ca="1" si="323"/>
        <v>56.521744883227832</v>
      </c>
      <c r="Y747" s="314" t="str">
        <f t="shared" ca="1" si="341"/>
        <v/>
      </c>
      <c r="Z747" s="315" t="str">
        <f t="shared" ca="1" si="342"/>
        <v/>
      </c>
      <c r="AA747" s="316" t="str">
        <f t="shared" ca="1" si="343"/>
        <v/>
      </c>
      <c r="AC747" s="310" t="e">
        <f t="shared" ca="1" si="344"/>
        <v>#N/A</v>
      </c>
      <c r="AD747" s="323" t="e">
        <f t="shared" ca="1" si="345"/>
        <v>#N/A</v>
      </c>
      <c r="AE747" s="324" t="e">
        <f t="shared" ca="1" si="324"/>
        <v>#N/A</v>
      </c>
      <c r="AG747" s="306">
        <f t="shared" ca="1" si="346"/>
        <v>2.2400896834164126</v>
      </c>
      <c r="AH747" s="304">
        <f t="shared" ca="1" si="347"/>
        <v>-7.554327537254629</v>
      </c>
    </row>
    <row r="748" spans="1:34" x14ac:dyDescent="0.2">
      <c r="A748" s="347">
        <f t="shared" ca="1" si="325"/>
        <v>1E-4</v>
      </c>
      <c r="B748" s="304">
        <f t="shared" ca="1" si="326"/>
        <v>37.700700000000246</v>
      </c>
      <c r="D748" s="306">
        <f t="shared" ca="1" si="327"/>
        <v>-0.42562296962715285</v>
      </c>
      <c r="E748" s="307">
        <f t="shared" ca="1" si="328"/>
        <v>-2.267636492736993</v>
      </c>
      <c r="F748" s="304">
        <f t="shared" ca="1" si="329"/>
        <v>2.307234313082823</v>
      </c>
      <c r="G748" s="306">
        <f t="shared" ca="1" si="330"/>
        <v>7.4420424606332229</v>
      </c>
      <c r="H748" s="307">
        <f t="shared" ca="1" si="331"/>
        <v>-131.87964704979606</v>
      </c>
      <c r="I748" s="304">
        <f t="shared" ca="1" si="332"/>
        <v>132.08945946579027</v>
      </c>
      <c r="J748" s="306">
        <f t="shared" ca="1" si="333"/>
        <v>515.22511340180665</v>
      </c>
      <c r="K748" s="307">
        <f t="shared" ca="1" si="334"/>
        <v>-2.999993245394931</v>
      </c>
      <c r="L748" s="304">
        <f t="shared" ca="1" si="319"/>
        <v>515.23384733475825</v>
      </c>
      <c r="M748" s="306">
        <f t="shared" ca="1" si="335"/>
        <v>-1.5144255509741724</v>
      </c>
      <c r="N748" s="304">
        <f t="shared" ca="1" si="336"/>
        <v>-86.770192457594391</v>
      </c>
      <c r="P748" s="310">
        <f t="shared" ca="1" si="337"/>
        <v>23</v>
      </c>
      <c r="Q748" s="304">
        <f t="shared" ca="1" si="338"/>
        <v>0</v>
      </c>
      <c r="R748" s="306">
        <f t="shared" ca="1" si="339"/>
        <v>0</v>
      </c>
      <c r="S748" s="307">
        <f t="shared" ca="1" si="340"/>
        <v>7.4819999999999904</v>
      </c>
      <c r="T748" s="304">
        <f t="shared" ca="1" si="320"/>
        <v>73.398419999999916</v>
      </c>
      <c r="U748" s="311">
        <f t="shared" ca="1" si="321"/>
        <v>0</v>
      </c>
      <c r="V748" s="306">
        <f t="shared" ca="1" si="322"/>
        <v>1.2253675543055826</v>
      </c>
      <c r="W748" s="304">
        <f t="shared" ca="1" si="323"/>
        <v>56.522011130748204</v>
      </c>
      <c r="Y748" s="314" t="str">
        <f t="shared" ca="1" si="341"/>
        <v/>
      </c>
      <c r="Z748" s="315" t="str">
        <f t="shared" ca="1" si="342"/>
        <v/>
      </c>
      <c r="AA748" s="316" t="str">
        <f t="shared" ca="1" si="343"/>
        <v/>
      </c>
      <c r="AC748" s="310" t="e">
        <f t="shared" ca="1" si="344"/>
        <v>#N/A</v>
      </c>
      <c r="AD748" s="323" t="e">
        <f t="shared" ca="1" si="345"/>
        <v>#N/A</v>
      </c>
      <c r="AE748" s="324" t="e">
        <f t="shared" ca="1" si="324"/>
        <v>#N/A</v>
      </c>
      <c r="AG748" s="306">
        <f t="shared" ca="1" si="346"/>
        <v>2.2400543293553721</v>
      </c>
      <c r="AH748" s="304">
        <f t="shared" ca="1" si="347"/>
        <v>-7.5543631225912726</v>
      </c>
    </row>
    <row r="749" spans="1:34" x14ac:dyDescent="0.2">
      <c r="A749" s="347">
        <f t="shared" ca="1" si="325"/>
        <v>1E-4</v>
      </c>
      <c r="B749" s="304">
        <f t="shared" ca="1" si="326"/>
        <v>37.70080000000025</v>
      </c>
      <c r="D749" s="306">
        <f t="shared" ca="1" si="327"/>
        <v>-0.42562181853393777</v>
      </c>
      <c r="E749" s="307">
        <f t="shared" ca="1" si="328"/>
        <v>-2.2676007860922693</v>
      </c>
      <c r="F749" s="304">
        <f t="shared" ca="1" si="329"/>
        <v>2.3071990069125841</v>
      </c>
      <c r="G749" s="306">
        <f t="shared" ca="1" si="330"/>
        <v>7.4419998984513693</v>
      </c>
      <c r="H749" s="307">
        <f t="shared" ca="1" si="331"/>
        <v>-131.87987380987468</v>
      </c>
      <c r="I749" s="304">
        <f t="shared" ca="1" si="332"/>
        <v>132.08968346769939</v>
      </c>
      <c r="J749" s="306">
        <f t="shared" ca="1" si="333"/>
        <v>515.22511340180665</v>
      </c>
      <c r="K749" s="307">
        <f t="shared" ca="1" si="334"/>
        <v>-3.0131812214379146</v>
      </c>
      <c r="L749" s="304">
        <f t="shared" ca="1" si="319"/>
        <v>515.23392429165392</v>
      </c>
      <c r="M749" s="306">
        <f t="shared" ca="1" si="335"/>
        <v>-1.5144259694054001</v>
      </c>
      <c r="N749" s="304">
        <f t="shared" ca="1" si="336"/>
        <v>-86.770216431937754</v>
      </c>
      <c r="P749" s="310">
        <f t="shared" ca="1" si="337"/>
        <v>23</v>
      </c>
      <c r="Q749" s="304">
        <f t="shared" ca="1" si="338"/>
        <v>0</v>
      </c>
      <c r="R749" s="306">
        <f t="shared" ca="1" si="339"/>
        <v>0</v>
      </c>
      <c r="S749" s="307">
        <f t="shared" ca="1" si="340"/>
        <v>7.4819999999999904</v>
      </c>
      <c r="T749" s="304">
        <f t="shared" ca="1" si="320"/>
        <v>73.398419999999916</v>
      </c>
      <c r="U749" s="311">
        <f t="shared" ca="1" si="321"/>
        <v>0</v>
      </c>
      <c r="V749" s="306">
        <f t="shared" ca="1" si="322"/>
        <v>1.2253691703184799</v>
      </c>
      <c r="W749" s="304">
        <f t="shared" ca="1" si="323"/>
        <v>56.522277376300195</v>
      </c>
      <c r="Y749" s="314" t="str">
        <f t="shared" ca="1" si="341"/>
        <v/>
      </c>
      <c r="Z749" s="315" t="str">
        <f t="shared" ca="1" si="342"/>
        <v/>
      </c>
      <c r="AA749" s="316" t="str">
        <f t="shared" ca="1" si="343"/>
        <v/>
      </c>
      <c r="AC749" s="310" t="e">
        <f t="shared" ca="1" si="344"/>
        <v>#N/A</v>
      </c>
      <c r="AD749" s="323" t="e">
        <f t="shared" ca="1" si="345"/>
        <v>#N/A</v>
      </c>
      <c r="AE749" s="324" t="e">
        <f t="shared" ca="1" si="324"/>
        <v>#N/A</v>
      </c>
      <c r="AG749" s="306">
        <f t="shared" ca="1" si="346"/>
        <v>2.2400189755535926</v>
      </c>
      <c r="AH749" s="304">
        <f t="shared" ca="1" si="347"/>
        <v>-7.5543987076648325</v>
      </c>
    </row>
    <row r="750" spans="1:34" x14ac:dyDescent="0.2">
      <c r="A750" s="347">
        <f t="shared" ca="1" si="325"/>
        <v>1E-4</v>
      </c>
      <c r="B750" s="304">
        <f t="shared" ca="1" si="326"/>
        <v>37.700900000000253</v>
      </c>
      <c r="D750" s="306">
        <f t="shared" ca="1" si="327"/>
        <v>-0.42562066742484539</v>
      </c>
      <c r="E750" s="307">
        <f t="shared" ca="1" si="328"/>
        <v>-2.2675650797114768</v>
      </c>
      <c r="F750" s="304">
        <f t="shared" ca="1" si="329"/>
        <v>2.3071637010117181</v>
      </c>
      <c r="G750" s="306">
        <f t="shared" ca="1" si="330"/>
        <v>7.4419573363846272</v>
      </c>
      <c r="H750" s="307">
        <f t="shared" ca="1" si="331"/>
        <v>-131.88010056638265</v>
      </c>
      <c r="I750" s="304">
        <f t="shared" ca="1" si="332"/>
        <v>132.08990746607319</v>
      </c>
      <c r="J750" s="306">
        <f t="shared" ca="1" si="333"/>
        <v>515.22511340180665</v>
      </c>
      <c r="K750" s="307">
        <f t="shared" ca="1" si="334"/>
        <v>-3.0263692201567274</v>
      </c>
      <c r="L750" s="304">
        <f t="shared" ca="1" si="319"/>
        <v>515.2340015862319</v>
      </c>
      <c r="M750" s="306">
        <f t="shared" ca="1" si="335"/>
        <v>-1.5144263878328155</v>
      </c>
      <c r="N750" s="304">
        <f t="shared" ca="1" si="336"/>
        <v>-86.770240406062698</v>
      </c>
      <c r="P750" s="310">
        <f t="shared" ca="1" si="337"/>
        <v>23</v>
      </c>
      <c r="Q750" s="304">
        <f t="shared" ca="1" si="338"/>
        <v>0</v>
      </c>
      <c r="R750" s="306">
        <f t="shared" ca="1" si="339"/>
        <v>0</v>
      </c>
      <c r="S750" s="307">
        <f t="shared" ca="1" si="340"/>
        <v>7.4819999999999904</v>
      </c>
      <c r="T750" s="304">
        <f t="shared" ca="1" si="320"/>
        <v>73.398419999999916</v>
      </c>
      <c r="U750" s="311">
        <f t="shared" ca="1" si="321"/>
        <v>0</v>
      </c>
      <c r="V750" s="306">
        <f t="shared" ca="1" si="322"/>
        <v>1.225370786336287</v>
      </c>
      <c r="W750" s="304">
        <f t="shared" ca="1" si="323"/>
        <v>56.522543619883812</v>
      </c>
      <c r="Y750" s="314" t="str">
        <f t="shared" ca="1" si="341"/>
        <v/>
      </c>
      <c r="Z750" s="315" t="str">
        <f t="shared" ca="1" si="342"/>
        <v/>
      </c>
      <c r="AA750" s="316" t="str">
        <f t="shared" ca="1" si="343"/>
        <v/>
      </c>
      <c r="AC750" s="310" t="e">
        <f t="shared" ca="1" si="344"/>
        <v>#N/A</v>
      </c>
      <c r="AD750" s="323" t="e">
        <f t="shared" ca="1" si="345"/>
        <v>#N/A</v>
      </c>
      <c r="AE750" s="324" t="e">
        <f t="shared" ca="1" si="324"/>
        <v>#N/A</v>
      </c>
      <c r="AG750" s="306">
        <f t="shared" ca="1" si="346"/>
        <v>2.2399836220110734</v>
      </c>
      <c r="AH750" s="304">
        <f t="shared" ca="1" si="347"/>
        <v>-7.5544342924753094</v>
      </c>
    </row>
    <row r="751" spans="1:34" x14ac:dyDescent="0.2">
      <c r="A751" s="347">
        <f t="shared" ca="1" si="325"/>
        <v>1E-4</v>
      </c>
      <c r="B751" s="304">
        <f t="shared" ca="1" si="326"/>
        <v>37.701000000000256</v>
      </c>
      <c r="D751" s="306">
        <f t="shared" ca="1" si="327"/>
        <v>-0.42561951629987832</v>
      </c>
      <c r="E751" s="307">
        <f t="shared" ca="1" si="328"/>
        <v>-2.2675293735946109</v>
      </c>
      <c r="F751" s="304">
        <f t="shared" ca="1" si="329"/>
        <v>2.3071283953802206</v>
      </c>
      <c r="G751" s="306">
        <f t="shared" ca="1" si="330"/>
        <v>7.4419147744329974</v>
      </c>
      <c r="H751" s="307">
        <f t="shared" ca="1" si="331"/>
        <v>-131.88032731932</v>
      </c>
      <c r="I751" s="304">
        <f t="shared" ca="1" si="332"/>
        <v>132.09013146091158</v>
      </c>
      <c r="J751" s="306">
        <f t="shared" ca="1" si="333"/>
        <v>515.22511340180665</v>
      </c>
      <c r="K751" s="307">
        <f t="shared" ca="1" si="334"/>
        <v>-3.0395572415510124</v>
      </c>
      <c r="L751" s="304">
        <f t="shared" ca="1" si="319"/>
        <v>515.23407921849389</v>
      </c>
      <c r="M751" s="306">
        <f t="shared" ca="1" si="335"/>
        <v>-1.5144268062564186</v>
      </c>
      <c r="N751" s="304">
        <f t="shared" ca="1" si="336"/>
        <v>-86.770264379969205</v>
      </c>
      <c r="P751" s="310">
        <f t="shared" ca="1" si="337"/>
        <v>23</v>
      </c>
      <c r="Q751" s="304">
        <f t="shared" ca="1" si="338"/>
        <v>0</v>
      </c>
      <c r="R751" s="306">
        <f t="shared" ca="1" si="339"/>
        <v>0</v>
      </c>
      <c r="S751" s="307">
        <f t="shared" ca="1" si="340"/>
        <v>7.4819999999999904</v>
      </c>
      <c r="T751" s="304">
        <f t="shared" ca="1" si="320"/>
        <v>73.398419999999916</v>
      </c>
      <c r="U751" s="311">
        <f t="shared" ca="1" si="321"/>
        <v>0</v>
      </c>
      <c r="V751" s="306">
        <f t="shared" ca="1" si="322"/>
        <v>1.2253724023590045</v>
      </c>
      <c r="W751" s="304">
        <f t="shared" ca="1" si="323"/>
        <v>56.522809861498956</v>
      </c>
      <c r="Y751" s="314" t="str">
        <f t="shared" ca="1" si="341"/>
        <v/>
      </c>
      <c r="Z751" s="315" t="str">
        <f t="shared" ca="1" si="342"/>
        <v/>
      </c>
      <c r="AA751" s="316" t="str">
        <f t="shared" ca="1" si="343"/>
        <v/>
      </c>
      <c r="AC751" s="310" t="e">
        <f t="shared" ca="1" si="344"/>
        <v>#N/A</v>
      </c>
      <c r="AD751" s="323" t="e">
        <f t="shared" ca="1" si="345"/>
        <v>#N/A</v>
      </c>
      <c r="AE751" s="324" t="e">
        <f t="shared" ca="1" si="324"/>
        <v>#N/A</v>
      </c>
      <c r="AG751" s="306">
        <f t="shared" ca="1" si="346"/>
        <v>2.2399482687278134</v>
      </c>
      <c r="AH751" s="304">
        <f t="shared" ca="1" si="347"/>
        <v>-7.5544698770227061</v>
      </c>
    </row>
    <row r="752" spans="1:34" x14ac:dyDescent="0.2">
      <c r="A752" s="347">
        <f t="shared" ca="1" si="325"/>
        <v>1E-4</v>
      </c>
      <c r="B752" s="304">
        <f t="shared" ca="1" si="326"/>
        <v>37.70110000000026</v>
      </c>
      <c r="D752" s="306">
        <f t="shared" ca="1" si="327"/>
        <v>-0.42561836515903634</v>
      </c>
      <c r="E752" s="307">
        <f t="shared" ca="1" si="328"/>
        <v>-2.2674936677416877</v>
      </c>
      <c r="F752" s="304">
        <f t="shared" ca="1" si="329"/>
        <v>2.3070930900181081</v>
      </c>
      <c r="G752" s="306">
        <f t="shared" ca="1" si="330"/>
        <v>7.4418722125964818</v>
      </c>
      <c r="H752" s="307">
        <f t="shared" ca="1" si="331"/>
        <v>-131.88055406868676</v>
      </c>
      <c r="I752" s="304">
        <f t="shared" ca="1" si="332"/>
        <v>132.09035545221471</v>
      </c>
      <c r="J752" s="306">
        <f t="shared" ca="1" si="333"/>
        <v>515.22511340180665</v>
      </c>
      <c r="K752" s="307">
        <f t="shared" ca="1" si="334"/>
        <v>-3.0527452856204129</v>
      </c>
      <c r="L752" s="304">
        <f t="shared" ca="1" si="319"/>
        <v>515.23415718844126</v>
      </c>
      <c r="M752" s="306">
        <f t="shared" ca="1" si="335"/>
        <v>-1.5144272246762096</v>
      </c>
      <c r="N752" s="304">
        <f t="shared" ca="1" si="336"/>
        <v>-86.770288353657293</v>
      </c>
      <c r="P752" s="310">
        <f t="shared" ca="1" si="337"/>
        <v>23</v>
      </c>
      <c r="Q752" s="304">
        <f t="shared" ca="1" si="338"/>
        <v>0</v>
      </c>
      <c r="R752" s="306">
        <f t="shared" ca="1" si="339"/>
        <v>0</v>
      </c>
      <c r="S752" s="307">
        <f t="shared" ca="1" si="340"/>
        <v>7.4819999999999904</v>
      </c>
      <c r="T752" s="304">
        <f t="shared" ca="1" si="320"/>
        <v>73.398419999999916</v>
      </c>
      <c r="U752" s="311">
        <f t="shared" ca="1" si="321"/>
        <v>0</v>
      </c>
      <c r="V752" s="306">
        <f t="shared" ca="1" si="322"/>
        <v>1.2253740183866322</v>
      </c>
      <c r="W752" s="304">
        <f t="shared" ca="1" si="323"/>
        <v>56.523076101145762</v>
      </c>
      <c r="Y752" s="314" t="str">
        <f t="shared" ca="1" si="341"/>
        <v/>
      </c>
      <c r="Z752" s="315" t="str">
        <f t="shared" ca="1" si="342"/>
        <v/>
      </c>
      <c r="AA752" s="316" t="str">
        <f t="shared" ca="1" si="343"/>
        <v/>
      </c>
      <c r="AC752" s="310" t="e">
        <f t="shared" ca="1" si="344"/>
        <v>#N/A</v>
      </c>
      <c r="AD752" s="323" t="e">
        <f t="shared" ca="1" si="345"/>
        <v>#N/A</v>
      </c>
      <c r="AE752" s="324" t="e">
        <f t="shared" ca="1" si="324"/>
        <v>#N/A</v>
      </c>
      <c r="AG752" s="306">
        <f t="shared" ca="1" si="346"/>
        <v>2.239912915703826</v>
      </c>
      <c r="AH752" s="304">
        <f t="shared" ca="1" si="347"/>
        <v>-7.5545054613070075</v>
      </c>
    </row>
    <row r="753" spans="1:34" x14ac:dyDescent="0.2">
      <c r="A753" s="347">
        <f t="shared" ca="1" si="325"/>
        <v>1E-4</v>
      </c>
      <c r="B753" s="304">
        <f t="shared" ca="1" si="326"/>
        <v>37.701200000000263</v>
      </c>
      <c r="D753" s="306">
        <f t="shared" ca="1" si="327"/>
        <v>-0.42561721400231972</v>
      </c>
      <c r="E753" s="307">
        <f t="shared" ca="1" si="328"/>
        <v>-2.2674579621526885</v>
      </c>
      <c r="F753" s="304">
        <f t="shared" ca="1" si="329"/>
        <v>2.3070577849253624</v>
      </c>
      <c r="G753" s="306">
        <f t="shared" ca="1" si="330"/>
        <v>7.4418296508750812</v>
      </c>
      <c r="H753" s="307">
        <f t="shared" ca="1" si="331"/>
        <v>-131.88078081448299</v>
      </c>
      <c r="I753" s="304">
        <f t="shared" ca="1" si="332"/>
        <v>132.09057943998258</v>
      </c>
      <c r="J753" s="306">
        <f t="shared" ca="1" si="333"/>
        <v>515.22511340180665</v>
      </c>
      <c r="K753" s="307">
        <f t="shared" ca="1" si="334"/>
        <v>-3.0659333523645715</v>
      </c>
      <c r="L753" s="304">
        <f t="shared" ca="1" si="319"/>
        <v>515.23423549607583</v>
      </c>
      <c r="M753" s="306">
        <f t="shared" ca="1" si="335"/>
        <v>-1.5144276430921886</v>
      </c>
      <c r="N753" s="304">
        <f t="shared" ca="1" si="336"/>
        <v>-86.770312327126973</v>
      </c>
      <c r="P753" s="310">
        <f t="shared" ca="1" si="337"/>
        <v>23</v>
      </c>
      <c r="Q753" s="304">
        <f t="shared" ca="1" si="338"/>
        <v>0</v>
      </c>
      <c r="R753" s="306">
        <f t="shared" ca="1" si="339"/>
        <v>0</v>
      </c>
      <c r="S753" s="307">
        <f t="shared" ca="1" si="340"/>
        <v>7.4819999999999904</v>
      </c>
      <c r="T753" s="304">
        <f t="shared" ca="1" si="320"/>
        <v>73.398419999999916</v>
      </c>
      <c r="U753" s="311">
        <f t="shared" ca="1" si="321"/>
        <v>0</v>
      </c>
      <c r="V753" s="306">
        <f t="shared" ca="1" si="322"/>
        <v>1.2253756344191695</v>
      </c>
      <c r="W753" s="304">
        <f t="shared" ca="1" si="323"/>
        <v>56.523342338824136</v>
      </c>
      <c r="Y753" s="314" t="str">
        <f t="shared" ca="1" si="341"/>
        <v/>
      </c>
      <c r="Z753" s="315" t="str">
        <f t="shared" ca="1" si="342"/>
        <v/>
      </c>
      <c r="AA753" s="316" t="str">
        <f t="shared" ca="1" si="343"/>
        <v/>
      </c>
      <c r="AC753" s="310" t="e">
        <f t="shared" ca="1" si="344"/>
        <v>#N/A</v>
      </c>
      <c r="AD753" s="323" t="e">
        <f t="shared" ca="1" si="345"/>
        <v>#N/A</v>
      </c>
      <c r="AE753" s="324" t="e">
        <f t="shared" ca="1" si="324"/>
        <v>#N/A</v>
      </c>
      <c r="AG753" s="306">
        <f t="shared" ca="1" si="346"/>
        <v>2.2398775629390943</v>
      </c>
      <c r="AH753" s="304">
        <f t="shared" ca="1" si="347"/>
        <v>-7.5545410453282322</v>
      </c>
    </row>
    <row r="754" spans="1:34" x14ac:dyDescent="0.2">
      <c r="A754" s="347">
        <f t="shared" ca="1" si="325"/>
        <v>1E-4</v>
      </c>
      <c r="B754" s="304">
        <f t="shared" ca="1" si="326"/>
        <v>37.701300000000266</v>
      </c>
      <c r="D754" s="306">
        <f t="shared" ca="1" si="327"/>
        <v>-0.42561606282972836</v>
      </c>
      <c r="E754" s="307">
        <f t="shared" ca="1" si="328"/>
        <v>-2.2674222568276248</v>
      </c>
      <c r="F754" s="304">
        <f t="shared" ca="1" si="329"/>
        <v>2.3070224801019945</v>
      </c>
      <c r="G754" s="306">
        <f t="shared" ca="1" si="330"/>
        <v>7.4417870892687983</v>
      </c>
      <c r="H754" s="307">
        <f t="shared" ca="1" si="331"/>
        <v>-131.88100755670868</v>
      </c>
      <c r="I754" s="304">
        <f t="shared" ca="1" si="332"/>
        <v>132.09080342421518</v>
      </c>
      <c r="J754" s="306">
        <f t="shared" ca="1" si="333"/>
        <v>515.22511340180665</v>
      </c>
      <c r="K754" s="307">
        <f t="shared" ca="1" si="334"/>
        <v>-3.0791214417831312</v>
      </c>
      <c r="L754" s="304">
        <f t="shared" ca="1" si="319"/>
        <v>515.23431414139895</v>
      </c>
      <c r="M754" s="306">
        <f t="shared" ca="1" si="335"/>
        <v>-1.5144280615043555</v>
      </c>
      <c r="N754" s="304">
        <f t="shared" ca="1" si="336"/>
        <v>-86.770336300378233</v>
      </c>
      <c r="P754" s="310">
        <f t="shared" ca="1" si="337"/>
        <v>23</v>
      </c>
      <c r="Q754" s="304">
        <f t="shared" ca="1" si="338"/>
        <v>0</v>
      </c>
      <c r="R754" s="306">
        <f t="shared" ca="1" si="339"/>
        <v>0</v>
      </c>
      <c r="S754" s="307">
        <f t="shared" ca="1" si="340"/>
        <v>7.4819999999999904</v>
      </c>
      <c r="T754" s="304">
        <f t="shared" ca="1" si="320"/>
        <v>73.398419999999916</v>
      </c>
      <c r="U754" s="311">
        <f t="shared" ca="1" si="321"/>
        <v>0</v>
      </c>
      <c r="V754" s="306">
        <f t="shared" ca="1" si="322"/>
        <v>1.2253772504566172</v>
      </c>
      <c r="W754" s="304">
        <f t="shared" ca="1" si="323"/>
        <v>56.523608574534109</v>
      </c>
      <c r="Y754" s="314" t="str">
        <f t="shared" ca="1" si="341"/>
        <v/>
      </c>
      <c r="Z754" s="315" t="str">
        <f t="shared" ca="1" si="342"/>
        <v/>
      </c>
      <c r="AA754" s="316" t="str">
        <f t="shared" ca="1" si="343"/>
        <v/>
      </c>
      <c r="AC754" s="310" t="e">
        <f t="shared" ca="1" si="344"/>
        <v>#N/A</v>
      </c>
      <c r="AD754" s="323" t="e">
        <f t="shared" ca="1" si="345"/>
        <v>#N/A</v>
      </c>
      <c r="AE754" s="324" t="e">
        <f t="shared" ca="1" si="324"/>
        <v>#N/A</v>
      </c>
      <c r="AG754" s="306">
        <f t="shared" ca="1" si="346"/>
        <v>2.23984221043363</v>
      </c>
      <c r="AH754" s="304">
        <f t="shared" ca="1" si="347"/>
        <v>-7.5545766290863687</v>
      </c>
    </row>
    <row r="755" spans="1:34" x14ac:dyDescent="0.2">
      <c r="A755" s="347">
        <f t="shared" ca="1" si="325"/>
        <v>1E-4</v>
      </c>
      <c r="B755" s="304">
        <f t="shared" ca="1" si="326"/>
        <v>37.70140000000027</v>
      </c>
      <c r="D755" s="306">
        <f t="shared" ca="1" si="327"/>
        <v>-0.42561491164126325</v>
      </c>
      <c r="E755" s="307">
        <f t="shared" ca="1" si="328"/>
        <v>-2.2673865517664948</v>
      </c>
      <c r="F755" s="304">
        <f t="shared" ca="1" si="329"/>
        <v>2.3069871755480036</v>
      </c>
      <c r="G755" s="306">
        <f t="shared" ca="1" si="330"/>
        <v>7.441744527777634</v>
      </c>
      <c r="H755" s="307">
        <f t="shared" ca="1" si="331"/>
        <v>-131.88123429536387</v>
      </c>
      <c r="I755" s="304">
        <f t="shared" ca="1" si="332"/>
        <v>132.09102740491258</v>
      </c>
      <c r="J755" s="306">
        <f t="shared" ca="1" si="333"/>
        <v>515.22511340180665</v>
      </c>
      <c r="K755" s="307">
        <f t="shared" ca="1" si="334"/>
        <v>-3.0923095538757348</v>
      </c>
      <c r="L755" s="304">
        <f t="shared" ca="1" si="319"/>
        <v>515.23439312441246</v>
      </c>
      <c r="M755" s="306">
        <f t="shared" ca="1" si="335"/>
        <v>-1.5144284799127106</v>
      </c>
      <c r="N755" s="304">
        <f t="shared" ca="1" si="336"/>
        <v>-86.770360273411086</v>
      </c>
      <c r="P755" s="310">
        <f t="shared" ca="1" si="337"/>
        <v>23</v>
      </c>
      <c r="Q755" s="304">
        <f t="shared" ca="1" si="338"/>
        <v>0</v>
      </c>
      <c r="R755" s="306">
        <f t="shared" ca="1" si="339"/>
        <v>0</v>
      </c>
      <c r="S755" s="307">
        <f t="shared" ca="1" si="340"/>
        <v>7.4819999999999904</v>
      </c>
      <c r="T755" s="304">
        <f t="shared" ca="1" si="320"/>
        <v>73.398419999999916</v>
      </c>
      <c r="U755" s="311">
        <f t="shared" ca="1" si="321"/>
        <v>0</v>
      </c>
      <c r="V755" s="306">
        <f t="shared" ca="1" si="322"/>
        <v>1.2253788664989744</v>
      </c>
      <c r="W755" s="304">
        <f t="shared" ca="1" si="323"/>
        <v>56.523874808275671</v>
      </c>
      <c r="Y755" s="314" t="str">
        <f t="shared" ca="1" si="341"/>
        <v/>
      </c>
      <c r="Z755" s="315" t="str">
        <f t="shared" ca="1" si="342"/>
        <v/>
      </c>
      <c r="AA755" s="316" t="str">
        <f t="shared" ca="1" si="343"/>
        <v/>
      </c>
      <c r="AC755" s="310" t="e">
        <f t="shared" ca="1" si="344"/>
        <v>#N/A</v>
      </c>
      <c r="AD755" s="323" t="e">
        <f t="shared" ca="1" si="345"/>
        <v>#N/A</v>
      </c>
      <c r="AE755" s="324" t="e">
        <f t="shared" ca="1" si="324"/>
        <v>#N/A</v>
      </c>
      <c r="AG755" s="306">
        <f t="shared" ca="1" si="346"/>
        <v>2.2398068581874284</v>
      </c>
      <c r="AH755" s="304">
        <f t="shared" ca="1" si="347"/>
        <v>-7.5546122125814197</v>
      </c>
    </row>
    <row r="756" spans="1:34" x14ac:dyDescent="0.2">
      <c r="A756" s="347">
        <f t="shared" ca="1" si="325"/>
        <v>1E-4</v>
      </c>
      <c r="B756" s="304">
        <f t="shared" ca="1" si="326"/>
        <v>37.701500000000273</v>
      </c>
      <c r="D756" s="306">
        <f t="shared" ca="1" si="327"/>
        <v>-0.42561376043692339</v>
      </c>
      <c r="E756" s="307">
        <f t="shared" ca="1" si="328"/>
        <v>-2.2673508469692987</v>
      </c>
      <c r="F756" s="304">
        <f t="shared" ca="1" si="329"/>
        <v>2.3069518712633896</v>
      </c>
      <c r="G756" s="306">
        <f t="shared" ca="1" si="330"/>
        <v>7.44170196640159</v>
      </c>
      <c r="H756" s="307">
        <f t="shared" ca="1" si="331"/>
        <v>-131.88146103044858</v>
      </c>
      <c r="I756" s="304">
        <f t="shared" ca="1" si="332"/>
        <v>132.09125138207477</v>
      </c>
      <c r="J756" s="306">
        <f t="shared" ca="1" si="333"/>
        <v>515.22511340180665</v>
      </c>
      <c r="K756" s="307">
        <f t="shared" ca="1" si="334"/>
        <v>-3.1054976886420254</v>
      </c>
      <c r="L756" s="304">
        <f t="shared" ca="1" si="319"/>
        <v>515.2344724451176</v>
      </c>
      <c r="M756" s="306">
        <f t="shared" ca="1" si="335"/>
        <v>-1.5144288983172536</v>
      </c>
      <c r="N756" s="304">
        <f t="shared" ca="1" si="336"/>
        <v>-86.770384246225532</v>
      </c>
      <c r="P756" s="310">
        <f t="shared" ca="1" si="337"/>
        <v>23</v>
      </c>
      <c r="Q756" s="304">
        <f t="shared" ca="1" si="338"/>
        <v>0</v>
      </c>
      <c r="R756" s="306">
        <f t="shared" ca="1" si="339"/>
        <v>0</v>
      </c>
      <c r="S756" s="307">
        <f t="shared" ca="1" si="340"/>
        <v>7.4819999999999904</v>
      </c>
      <c r="T756" s="304">
        <f t="shared" ca="1" si="320"/>
        <v>73.398419999999916</v>
      </c>
      <c r="U756" s="311">
        <f t="shared" ca="1" si="321"/>
        <v>0</v>
      </c>
      <c r="V756" s="306">
        <f t="shared" ca="1" si="322"/>
        <v>1.225380482546242</v>
      </c>
      <c r="W756" s="304">
        <f t="shared" ca="1" si="323"/>
        <v>56.524141040048825</v>
      </c>
      <c r="Y756" s="314" t="str">
        <f t="shared" ca="1" si="341"/>
        <v/>
      </c>
      <c r="Z756" s="315" t="str">
        <f t="shared" ca="1" si="342"/>
        <v/>
      </c>
      <c r="AA756" s="316" t="str">
        <f t="shared" ca="1" si="343"/>
        <v/>
      </c>
      <c r="AC756" s="310" t="e">
        <f t="shared" ca="1" si="344"/>
        <v>#N/A</v>
      </c>
      <c r="AD756" s="323" t="e">
        <f t="shared" ca="1" si="345"/>
        <v>#N/A</v>
      </c>
      <c r="AE756" s="324" t="e">
        <f t="shared" ca="1" si="324"/>
        <v>#N/A</v>
      </c>
      <c r="AG756" s="306">
        <f t="shared" ca="1" si="346"/>
        <v>2.2397715062004924</v>
      </c>
      <c r="AH756" s="304">
        <f t="shared" ca="1" si="347"/>
        <v>-7.5546477958133842</v>
      </c>
    </row>
    <row r="757" spans="1:34" x14ac:dyDescent="0.2">
      <c r="A757" s="347">
        <f t="shared" ca="1" si="325"/>
        <v>1E-4</v>
      </c>
      <c r="B757" s="304">
        <f t="shared" ca="1" si="326"/>
        <v>37.701600000000276</v>
      </c>
      <c r="D757" s="306">
        <f t="shared" ca="1" si="327"/>
        <v>-0.42561260921671135</v>
      </c>
      <c r="E757" s="307">
        <f t="shared" ca="1" si="328"/>
        <v>-2.2673151424360345</v>
      </c>
      <c r="F757" s="304">
        <f t="shared" ca="1" si="329"/>
        <v>2.3069165672481509</v>
      </c>
      <c r="G757" s="306">
        <f t="shared" ca="1" si="330"/>
        <v>7.4416594051406681</v>
      </c>
      <c r="H757" s="307">
        <f t="shared" ca="1" si="331"/>
        <v>-131.88168776196281</v>
      </c>
      <c r="I757" s="304">
        <f t="shared" ca="1" si="332"/>
        <v>132.09147535570176</v>
      </c>
      <c r="J757" s="306">
        <f t="shared" ca="1" si="333"/>
        <v>515.22511340180665</v>
      </c>
      <c r="K757" s="307">
        <f t="shared" ca="1" si="334"/>
        <v>-3.1186858460816458</v>
      </c>
      <c r="L757" s="304">
        <f t="shared" ca="1" si="319"/>
        <v>515.23455210351631</v>
      </c>
      <c r="M757" s="306">
        <f t="shared" ca="1" si="335"/>
        <v>-1.5144293167179848</v>
      </c>
      <c r="N757" s="304">
        <f t="shared" ca="1" si="336"/>
        <v>-86.770408218821572</v>
      </c>
      <c r="P757" s="310">
        <f t="shared" ca="1" si="337"/>
        <v>23</v>
      </c>
      <c r="Q757" s="304">
        <f t="shared" ca="1" si="338"/>
        <v>0</v>
      </c>
      <c r="R757" s="306">
        <f t="shared" ca="1" si="339"/>
        <v>0</v>
      </c>
      <c r="S757" s="307">
        <f t="shared" ca="1" si="340"/>
        <v>7.4819999999999904</v>
      </c>
      <c r="T757" s="304">
        <f t="shared" ca="1" si="320"/>
        <v>73.398419999999916</v>
      </c>
      <c r="U757" s="311">
        <f t="shared" ca="1" si="321"/>
        <v>0</v>
      </c>
      <c r="V757" s="306">
        <f t="shared" ca="1" si="322"/>
        <v>1.2253820985984198</v>
      </c>
      <c r="W757" s="304">
        <f t="shared" ca="1" si="323"/>
        <v>56.524407269853548</v>
      </c>
      <c r="Y757" s="314" t="str">
        <f t="shared" ca="1" si="341"/>
        <v/>
      </c>
      <c r="Z757" s="315" t="str">
        <f t="shared" ca="1" si="342"/>
        <v/>
      </c>
      <c r="AA757" s="316" t="str">
        <f t="shared" ca="1" si="343"/>
        <v/>
      </c>
      <c r="AC757" s="310" t="e">
        <f t="shared" ca="1" si="344"/>
        <v>#N/A</v>
      </c>
      <c r="AD757" s="323" t="e">
        <f t="shared" ca="1" si="345"/>
        <v>#N/A</v>
      </c>
      <c r="AE757" s="324" t="e">
        <f t="shared" ca="1" si="324"/>
        <v>#N/A</v>
      </c>
      <c r="AG757" s="306">
        <f t="shared" ca="1" si="346"/>
        <v>2.23973615447282</v>
      </c>
      <c r="AH757" s="304">
        <f t="shared" ca="1" si="347"/>
        <v>-7.554683378782264</v>
      </c>
    </row>
    <row r="758" spans="1:34" x14ac:dyDescent="0.2">
      <c r="A758" s="347">
        <f t="shared" ca="1" si="325"/>
        <v>1E-4</v>
      </c>
      <c r="B758" s="304">
        <f t="shared" ca="1" si="326"/>
        <v>37.70170000000028</v>
      </c>
      <c r="D758" s="306">
        <f t="shared" ca="1" si="327"/>
        <v>-0.42561145798062583</v>
      </c>
      <c r="E758" s="307">
        <f t="shared" ca="1" si="328"/>
        <v>-2.2672794381667076</v>
      </c>
      <c r="F758" s="304">
        <f t="shared" ca="1" si="329"/>
        <v>2.3068812635022931</v>
      </c>
      <c r="G758" s="306">
        <f t="shared" ca="1" si="330"/>
        <v>7.4416168439948702</v>
      </c>
      <c r="H758" s="307">
        <f t="shared" ca="1" si="331"/>
        <v>-131.88191448990662</v>
      </c>
      <c r="I758" s="304">
        <f t="shared" ca="1" si="332"/>
        <v>132.09169932579363</v>
      </c>
      <c r="J758" s="306">
        <f t="shared" ca="1" si="333"/>
        <v>515.22511340180665</v>
      </c>
      <c r="K758" s="307">
        <f t="shared" ca="1" si="334"/>
        <v>-3.131874026194239</v>
      </c>
      <c r="L758" s="304">
        <f t="shared" ca="1" si="319"/>
        <v>515.23463209961005</v>
      </c>
      <c r="M758" s="306">
        <f t="shared" ca="1" si="335"/>
        <v>-1.5144297351149041</v>
      </c>
      <c r="N758" s="304">
        <f t="shared" ca="1" si="336"/>
        <v>-86.770432191199205</v>
      </c>
      <c r="P758" s="310">
        <f t="shared" ca="1" si="337"/>
        <v>23</v>
      </c>
      <c r="Q758" s="304">
        <f t="shared" ca="1" si="338"/>
        <v>0</v>
      </c>
      <c r="R758" s="306">
        <f t="shared" ca="1" si="339"/>
        <v>0</v>
      </c>
      <c r="S758" s="307">
        <f t="shared" ca="1" si="340"/>
        <v>7.4819999999999904</v>
      </c>
      <c r="T758" s="304">
        <f t="shared" ca="1" si="320"/>
        <v>73.398419999999916</v>
      </c>
      <c r="U758" s="311">
        <f t="shared" ca="1" si="321"/>
        <v>0</v>
      </c>
      <c r="V758" s="306">
        <f t="shared" ca="1" si="322"/>
        <v>1.2253837146555071</v>
      </c>
      <c r="W758" s="304">
        <f t="shared" ca="1" si="323"/>
        <v>56.524673497689854</v>
      </c>
      <c r="Y758" s="314" t="str">
        <f t="shared" ca="1" si="341"/>
        <v/>
      </c>
      <c r="Z758" s="315" t="str">
        <f t="shared" ca="1" si="342"/>
        <v/>
      </c>
      <c r="AA758" s="316" t="str">
        <f t="shared" ca="1" si="343"/>
        <v/>
      </c>
      <c r="AC758" s="310" t="e">
        <f t="shared" ca="1" si="344"/>
        <v>#N/A</v>
      </c>
      <c r="AD758" s="323" t="e">
        <f t="shared" ca="1" si="345"/>
        <v>#N/A</v>
      </c>
      <c r="AE758" s="324" t="e">
        <f t="shared" ca="1" si="324"/>
        <v>#N/A</v>
      </c>
      <c r="AG758" s="306">
        <f t="shared" ca="1" si="346"/>
        <v>2.239700803004415</v>
      </c>
      <c r="AH758" s="304">
        <f t="shared" ca="1" si="347"/>
        <v>-7.5547189614880539</v>
      </c>
    </row>
    <row r="759" spans="1:34" x14ac:dyDescent="0.2">
      <c r="A759" s="347">
        <f t="shared" ca="1" si="325"/>
        <v>1E-4</v>
      </c>
      <c r="B759" s="304">
        <f t="shared" ca="1" si="326"/>
        <v>37.701800000000283</v>
      </c>
      <c r="D759" s="306">
        <f t="shared" ca="1" si="327"/>
        <v>-0.42561030672866773</v>
      </c>
      <c r="E759" s="307">
        <f t="shared" ca="1" si="328"/>
        <v>-2.2672437341613145</v>
      </c>
      <c r="F759" s="304">
        <f t="shared" ca="1" si="329"/>
        <v>2.3068459600258127</v>
      </c>
      <c r="G759" s="306">
        <f t="shared" ca="1" si="330"/>
        <v>7.4415742829641971</v>
      </c>
      <c r="H759" s="307">
        <f t="shared" ca="1" si="331"/>
        <v>-131.88214121428004</v>
      </c>
      <c r="I759" s="304">
        <f t="shared" ca="1" si="332"/>
        <v>132.09192329235037</v>
      </c>
      <c r="J759" s="306">
        <f t="shared" ca="1" si="333"/>
        <v>515.22511340180665</v>
      </c>
      <c r="K759" s="307">
        <f t="shared" ca="1" si="334"/>
        <v>-3.1450622289794485</v>
      </c>
      <c r="L759" s="304">
        <f t="shared" ca="1" si="319"/>
        <v>515.23471243340032</v>
      </c>
      <c r="M759" s="306">
        <f t="shared" ca="1" si="335"/>
        <v>-1.5144301535080118</v>
      </c>
      <c r="N759" s="304">
        <f t="shared" ca="1" si="336"/>
        <v>-86.77045616335846</v>
      </c>
      <c r="P759" s="310">
        <f t="shared" ca="1" si="337"/>
        <v>23</v>
      </c>
      <c r="Q759" s="304">
        <f t="shared" ca="1" si="338"/>
        <v>0</v>
      </c>
      <c r="R759" s="306">
        <f t="shared" ca="1" si="339"/>
        <v>0</v>
      </c>
      <c r="S759" s="307">
        <f t="shared" ca="1" si="340"/>
        <v>7.4819999999999904</v>
      </c>
      <c r="T759" s="304">
        <f t="shared" ca="1" si="320"/>
        <v>73.398419999999916</v>
      </c>
      <c r="U759" s="311">
        <f t="shared" ca="1" si="321"/>
        <v>0</v>
      </c>
      <c r="V759" s="306">
        <f t="shared" ca="1" si="322"/>
        <v>1.2253853307175044</v>
      </c>
      <c r="W759" s="304">
        <f t="shared" ca="1" si="323"/>
        <v>56.524939723557736</v>
      </c>
      <c r="Y759" s="314" t="str">
        <f t="shared" ca="1" si="341"/>
        <v/>
      </c>
      <c r="Z759" s="315" t="str">
        <f t="shared" ca="1" si="342"/>
        <v/>
      </c>
      <c r="AA759" s="316" t="str">
        <f t="shared" ca="1" si="343"/>
        <v/>
      </c>
      <c r="AC759" s="310" t="e">
        <f t="shared" ca="1" si="344"/>
        <v>#N/A</v>
      </c>
      <c r="AD759" s="323" t="e">
        <f t="shared" ca="1" si="345"/>
        <v>#N/A</v>
      </c>
      <c r="AE759" s="324" t="e">
        <f t="shared" ca="1" si="324"/>
        <v>#N/A</v>
      </c>
      <c r="AG759" s="306">
        <f t="shared" ca="1" si="346"/>
        <v>2.2396654517952754</v>
      </c>
      <c r="AH759" s="304">
        <f t="shared" ca="1" si="347"/>
        <v>-7.5547545439307573</v>
      </c>
    </row>
    <row r="760" spans="1:34" x14ac:dyDescent="0.2">
      <c r="A760" s="347">
        <f t="shared" ca="1" si="325"/>
        <v>1E-4</v>
      </c>
      <c r="B760" s="304">
        <f t="shared" ca="1" si="326"/>
        <v>37.701900000000286</v>
      </c>
      <c r="D760" s="306">
        <f t="shared" ca="1" si="327"/>
        <v>-0.42560915546083611</v>
      </c>
      <c r="E760" s="307">
        <f t="shared" ca="1" si="328"/>
        <v>-2.2672080304198579</v>
      </c>
      <c r="F760" s="304">
        <f t="shared" ca="1" si="329"/>
        <v>2.3068106568187119</v>
      </c>
      <c r="G760" s="306">
        <f t="shared" ca="1" si="330"/>
        <v>7.4415317220486514</v>
      </c>
      <c r="H760" s="307">
        <f t="shared" ca="1" si="331"/>
        <v>-131.8823679350831</v>
      </c>
      <c r="I760" s="304">
        <f t="shared" ca="1" si="332"/>
        <v>132.09214725537205</v>
      </c>
      <c r="J760" s="306">
        <f t="shared" ca="1" si="333"/>
        <v>515.22511340180665</v>
      </c>
      <c r="K760" s="307">
        <f t="shared" ca="1" si="334"/>
        <v>-3.1582504544369168</v>
      </c>
      <c r="L760" s="304">
        <f t="shared" ca="1" si="319"/>
        <v>515.23479310488869</v>
      </c>
      <c r="M760" s="306">
        <f t="shared" ca="1" si="335"/>
        <v>-1.5144305718973077</v>
      </c>
      <c r="N760" s="304">
        <f t="shared" ca="1" si="336"/>
        <v>-86.770480135299309</v>
      </c>
      <c r="P760" s="310">
        <f t="shared" ca="1" si="337"/>
        <v>23</v>
      </c>
      <c r="Q760" s="304">
        <f t="shared" ca="1" si="338"/>
        <v>0</v>
      </c>
      <c r="R760" s="306">
        <f t="shared" ca="1" si="339"/>
        <v>0</v>
      </c>
      <c r="S760" s="307">
        <f t="shared" ca="1" si="340"/>
        <v>7.4819999999999904</v>
      </c>
      <c r="T760" s="304">
        <f t="shared" ca="1" si="320"/>
        <v>73.398419999999916</v>
      </c>
      <c r="U760" s="311">
        <f t="shared" ca="1" si="321"/>
        <v>0</v>
      </c>
      <c r="V760" s="306">
        <f t="shared" ca="1" si="322"/>
        <v>1.2253869467844118</v>
      </c>
      <c r="W760" s="304">
        <f t="shared" ca="1" si="323"/>
        <v>56.525205947457238</v>
      </c>
      <c r="Y760" s="314" t="str">
        <f t="shared" ca="1" si="341"/>
        <v/>
      </c>
      <c r="Z760" s="315" t="str">
        <f t="shared" ca="1" si="342"/>
        <v/>
      </c>
      <c r="AA760" s="316" t="str">
        <f t="shared" ca="1" si="343"/>
        <v/>
      </c>
      <c r="AC760" s="310" t="e">
        <f t="shared" ca="1" si="344"/>
        <v>#N/A</v>
      </c>
      <c r="AD760" s="323" t="e">
        <f t="shared" ca="1" si="345"/>
        <v>#N/A</v>
      </c>
      <c r="AE760" s="324" t="e">
        <f t="shared" ca="1" si="324"/>
        <v>#N/A</v>
      </c>
      <c r="AG760" s="306">
        <f t="shared" ca="1" si="346"/>
        <v>2.2396301008454031</v>
      </c>
      <c r="AH760" s="304">
        <f t="shared" ca="1" si="347"/>
        <v>-7.5547901261103725</v>
      </c>
    </row>
    <row r="761" spans="1:34" x14ac:dyDescent="0.2">
      <c r="A761" s="347">
        <f t="shared" ca="1" si="325"/>
        <v>1E-4</v>
      </c>
      <c r="B761" s="304">
        <f t="shared" ca="1" si="326"/>
        <v>37.70200000000029</v>
      </c>
      <c r="D761" s="306">
        <f t="shared" ca="1" si="327"/>
        <v>-0.42560800417713363</v>
      </c>
      <c r="E761" s="307">
        <f t="shared" ca="1" si="328"/>
        <v>-2.2671723269423305</v>
      </c>
      <c r="F761" s="304">
        <f t="shared" ca="1" si="329"/>
        <v>2.306775353880985</v>
      </c>
      <c r="G761" s="306">
        <f t="shared" ca="1" si="330"/>
        <v>7.4414891612482341</v>
      </c>
      <c r="H761" s="307">
        <f t="shared" ca="1" si="331"/>
        <v>-131.88259465231579</v>
      </c>
      <c r="I761" s="304">
        <f t="shared" ca="1" si="332"/>
        <v>132.09237121485862</v>
      </c>
      <c r="J761" s="306">
        <f t="shared" ca="1" si="333"/>
        <v>515.22511340180665</v>
      </c>
      <c r="K761" s="307">
        <f t="shared" ca="1" si="334"/>
        <v>-3.1714387025662867</v>
      </c>
      <c r="L761" s="304">
        <f t="shared" ca="1" si="319"/>
        <v>515.23487411407689</v>
      </c>
      <c r="M761" s="306">
        <f t="shared" ca="1" si="335"/>
        <v>-1.5144309902827919</v>
      </c>
      <c r="N761" s="304">
        <f t="shared" ca="1" si="336"/>
        <v>-86.770504107021765</v>
      </c>
      <c r="P761" s="310">
        <f t="shared" ca="1" si="337"/>
        <v>23</v>
      </c>
      <c r="Q761" s="304">
        <f t="shared" ca="1" si="338"/>
        <v>0</v>
      </c>
      <c r="R761" s="306">
        <f t="shared" ca="1" si="339"/>
        <v>0</v>
      </c>
      <c r="S761" s="307">
        <f t="shared" ca="1" si="340"/>
        <v>7.4819999999999904</v>
      </c>
      <c r="T761" s="304">
        <f t="shared" ca="1" si="320"/>
        <v>73.398419999999916</v>
      </c>
      <c r="U761" s="311">
        <f t="shared" ca="1" si="321"/>
        <v>0</v>
      </c>
      <c r="V761" s="306">
        <f t="shared" ca="1" si="322"/>
        <v>1.2253885628562287</v>
      </c>
      <c r="W761" s="304">
        <f t="shared" ca="1" si="323"/>
        <v>56.525472169388252</v>
      </c>
      <c r="Y761" s="314" t="str">
        <f t="shared" ca="1" si="341"/>
        <v/>
      </c>
      <c r="Z761" s="315" t="str">
        <f t="shared" ca="1" si="342"/>
        <v/>
      </c>
      <c r="AA761" s="316" t="str">
        <f t="shared" ca="1" si="343"/>
        <v/>
      </c>
      <c r="AC761" s="310" t="e">
        <f t="shared" ca="1" si="344"/>
        <v>#N/A</v>
      </c>
      <c r="AD761" s="323" t="e">
        <f t="shared" ca="1" si="345"/>
        <v>#N/A</v>
      </c>
      <c r="AE761" s="324" t="e">
        <f t="shared" ca="1" si="324"/>
        <v>#N/A</v>
      </c>
      <c r="AG761" s="306">
        <f t="shared" ca="1" si="346"/>
        <v>2.2395947501547937</v>
      </c>
      <c r="AH761" s="304">
        <f t="shared" ca="1" si="347"/>
        <v>-7.5548257080269057</v>
      </c>
    </row>
    <row r="762" spans="1:34" x14ac:dyDescent="0.2">
      <c r="A762" s="347">
        <f t="shared" ca="1" si="325"/>
        <v>1E-4</v>
      </c>
      <c r="B762" s="304">
        <f t="shared" ca="1" si="326"/>
        <v>37.702100000000293</v>
      </c>
      <c r="D762" s="306">
        <f t="shared" ca="1" si="327"/>
        <v>-0.42560685287755862</v>
      </c>
      <c r="E762" s="307">
        <f t="shared" ca="1" si="328"/>
        <v>-2.2671366237287458</v>
      </c>
      <c r="F762" s="304">
        <f t="shared" ca="1" si="329"/>
        <v>2.3067400512126452</v>
      </c>
      <c r="G762" s="306">
        <f t="shared" ca="1" si="330"/>
        <v>7.441446600562946</v>
      </c>
      <c r="H762" s="307">
        <f t="shared" ca="1" si="331"/>
        <v>-131.88282136597817</v>
      </c>
      <c r="I762" s="304">
        <f t="shared" ca="1" si="332"/>
        <v>132.09259517081017</v>
      </c>
      <c r="J762" s="306">
        <f t="shared" ca="1" si="333"/>
        <v>515.22511340180665</v>
      </c>
      <c r="K762" s="307">
        <f t="shared" ca="1" si="334"/>
        <v>-3.1846269733672012</v>
      </c>
      <c r="L762" s="304">
        <f t="shared" ca="1" si="319"/>
        <v>515.23495546096638</v>
      </c>
      <c r="M762" s="306">
        <f t="shared" ca="1" si="335"/>
        <v>-1.5144314086644646</v>
      </c>
      <c r="N762" s="304">
        <f t="shared" ca="1" si="336"/>
        <v>-86.770528078525828</v>
      </c>
      <c r="P762" s="310">
        <f t="shared" ca="1" si="337"/>
        <v>23</v>
      </c>
      <c r="Q762" s="304">
        <f t="shared" ca="1" si="338"/>
        <v>0</v>
      </c>
      <c r="R762" s="306">
        <f t="shared" ca="1" si="339"/>
        <v>0</v>
      </c>
      <c r="S762" s="307">
        <f t="shared" ca="1" si="340"/>
        <v>7.4819999999999904</v>
      </c>
      <c r="T762" s="304">
        <f t="shared" ca="1" si="320"/>
        <v>73.398419999999916</v>
      </c>
      <c r="U762" s="311">
        <f t="shared" ca="1" si="321"/>
        <v>0</v>
      </c>
      <c r="V762" s="306">
        <f t="shared" ca="1" si="322"/>
        <v>1.2253901789329555</v>
      </c>
      <c r="W762" s="304">
        <f t="shared" ca="1" si="323"/>
        <v>56.52573838935087</v>
      </c>
      <c r="Y762" s="314" t="str">
        <f t="shared" ca="1" si="341"/>
        <v/>
      </c>
      <c r="Z762" s="315" t="str">
        <f t="shared" ca="1" si="342"/>
        <v/>
      </c>
      <c r="AA762" s="316" t="str">
        <f t="shared" ca="1" si="343"/>
        <v/>
      </c>
      <c r="AC762" s="310" t="e">
        <f t="shared" ca="1" si="344"/>
        <v>#N/A</v>
      </c>
      <c r="AD762" s="323" t="e">
        <f t="shared" ca="1" si="345"/>
        <v>#N/A</v>
      </c>
      <c r="AE762" s="324" t="e">
        <f t="shared" ca="1" si="324"/>
        <v>#N/A</v>
      </c>
      <c r="AG762" s="306">
        <f t="shared" ca="1" si="346"/>
        <v>2.2395593997234577</v>
      </c>
      <c r="AH762" s="304">
        <f t="shared" ca="1" si="347"/>
        <v>-7.5548612896803427</v>
      </c>
    </row>
    <row r="763" spans="1:34" x14ac:dyDescent="0.2">
      <c r="A763" s="347">
        <f t="shared" ca="1" si="325"/>
        <v>1E-4</v>
      </c>
      <c r="B763" s="304">
        <f t="shared" ca="1" si="326"/>
        <v>37.702200000000296</v>
      </c>
      <c r="D763" s="306">
        <f t="shared" ca="1" si="327"/>
        <v>-0.42560570156211247</v>
      </c>
      <c r="E763" s="307">
        <f t="shared" ca="1" si="328"/>
        <v>-2.267100920779094</v>
      </c>
      <c r="F763" s="304">
        <f t="shared" ca="1" si="329"/>
        <v>2.3067047488136825</v>
      </c>
      <c r="G763" s="306">
        <f t="shared" ca="1" si="330"/>
        <v>7.4414040399927899</v>
      </c>
      <c r="H763" s="307">
        <f t="shared" ca="1" si="331"/>
        <v>-131.88304807607025</v>
      </c>
      <c r="I763" s="304">
        <f t="shared" ca="1" si="332"/>
        <v>132.09281912322666</v>
      </c>
      <c r="J763" s="306">
        <f t="shared" ca="1" si="333"/>
        <v>515.22511340180665</v>
      </c>
      <c r="K763" s="307">
        <f t="shared" ca="1" si="334"/>
        <v>-3.1978152668393038</v>
      </c>
      <c r="L763" s="304">
        <f t="shared" ca="1" si="319"/>
        <v>515.23503714555875</v>
      </c>
      <c r="M763" s="306">
        <f t="shared" ca="1" si="335"/>
        <v>-1.5144318270423258</v>
      </c>
      <c r="N763" s="304">
        <f t="shared" ca="1" si="336"/>
        <v>-86.770552049811528</v>
      </c>
      <c r="P763" s="310">
        <f t="shared" ca="1" si="337"/>
        <v>23</v>
      </c>
      <c r="Q763" s="304">
        <f t="shared" ca="1" si="338"/>
        <v>0</v>
      </c>
      <c r="R763" s="306">
        <f t="shared" ca="1" si="339"/>
        <v>0</v>
      </c>
      <c r="S763" s="307">
        <f t="shared" ca="1" si="340"/>
        <v>7.4819999999999904</v>
      </c>
      <c r="T763" s="304">
        <f t="shared" ca="1" si="320"/>
        <v>73.398419999999916</v>
      </c>
      <c r="U763" s="311">
        <f t="shared" ca="1" si="321"/>
        <v>0</v>
      </c>
      <c r="V763" s="306">
        <f t="shared" ca="1" si="322"/>
        <v>1.2253917950145916</v>
      </c>
      <c r="W763" s="304">
        <f t="shared" ca="1" si="323"/>
        <v>56.526004607344987</v>
      </c>
      <c r="Y763" s="314" t="str">
        <f t="shared" ca="1" si="341"/>
        <v/>
      </c>
      <c r="Z763" s="315" t="str">
        <f t="shared" ca="1" si="342"/>
        <v/>
      </c>
      <c r="AA763" s="316" t="str">
        <f t="shared" ca="1" si="343"/>
        <v/>
      </c>
      <c r="AC763" s="310" t="e">
        <f t="shared" ca="1" si="344"/>
        <v>#N/A</v>
      </c>
      <c r="AD763" s="323" t="e">
        <f t="shared" ca="1" si="345"/>
        <v>#N/A</v>
      </c>
      <c r="AE763" s="324" t="e">
        <f t="shared" ca="1" si="324"/>
        <v>#N/A</v>
      </c>
      <c r="AG763" s="306">
        <f t="shared" ca="1" si="346"/>
        <v>2.2395240495513837</v>
      </c>
      <c r="AH763" s="304">
        <f t="shared" ca="1" si="347"/>
        <v>-7.554896871070695</v>
      </c>
    </row>
    <row r="764" spans="1:34" x14ac:dyDescent="0.2">
      <c r="A764" s="347">
        <f t="shared" ca="1" si="325"/>
        <v>1E-4</v>
      </c>
      <c r="B764" s="304">
        <f t="shared" ca="1" si="326"/>
        <v>37.702300000000299</v>
      </c>
      <c r="D764" s="306">
        <f t="shared" ca="1" si="327"/>
        <v>-0.42560455023079347</v>
      </c>
      <c r="E764" s="307">
        <f t="shared" ca="1" si="328"/>
        <v>-2.2670652180933875</v>
      </c>
      <c r="F764" s="304">
        <f t="shared" ca="1" si="329"/>
        <v>2.3066694466841091</v>
      </c>
      <c r="G764" s="306">
        <f t="shared" ca="1" si="330"/>
        <v>7.4413614795377665</v>
      </c>
      <c r="H764" s="307">
        <f t="shared" ca="1" si="331"/>
        <v>-131.88327478259205</v>
      </c>
      <c r="I764" s="304">
        <f t="shared" ca="1" si="332"/>
        <v>132.09304307210817</v>
      </c>
      <c r="J764" s="306">
        <f t="shared" ca="1" si="333"/>
        <v>515.22511340180665</v>
      </c>
      <c r="K764" s="307">
        <f t="shared" ca="1" si="334"/>
        <v>-3.211003582982237</v>
      </c>
      <c r="L764" s="304">
        <f t="shared" ca="1" si="319"/>
        <v>515.23511916785571</v>
      </c>
      <c r="M764" s="306">
        <f t="shared" ca="1" si="335"/>
        <v>-1.5144322454163754</v>
      </c>
      <c r="N764" s="304">
        <f t="shared" ca="1" si="336"/>
        <v>-86.770576020878821</v>
      </c>
      <c r="P764" s="310">
        <f t="shared" ca="1" si="337"/>
        <v>23</v>
      </c>
      <c r="Q764" s="304">
        <f t="shared" ca="1" si="338"/>
        <v>0</v>
      </c>
      <c r="R764" s="306">
        <f t="shared" ca="1" si="339"/>
        <v>0</v>
      </c>
      <c r="S764" s="307">
        <f t="shared" ca="1" si="340"/>
        <v>7.4819999999999904</v>
      </c>
      <c r="T764" s="304">
        <f t="shared" ca="1" si="320"/>
        <v>73.398419999999916</v>
      </c>
      <c r="U764" s="311">
        <f t="shared" ca="1" si="321"/>
        <v>0</v>
      </c>
      <c r="V764" s="306">
        <f t="shared" ca="1" si="322"/>
        <v>1.2253934111011382</v>
      </c>
      <c r="W764" s="304">
        <f t="shared" ca="1" si="323"/>
        <v>56.526270823370709</v>
      </c>
      <c r="Y764" s="314" t="str">
        <f t="shared" ca="1" si="341"/>
        <v/>
      </c>
      <c r="Z764" s="315" t="str">
        <f t="shared" ca="1" si="342"/>
        <v/>
      </c>
      <c r="AA764" s="316" t="str">
        <f t="shared" ca="1" si="343"/>
        <v/>
      </c>
      <c r="AC764" s="310" t="e">
        <f t="shared" ca="1" si="344"/>
        <v>#N/A</v>
      </c>
      <c r="AD764" s="323" t="e">
        <f t="shared" ca="1" si="345"/>
        <v>#N/A</v>
      </c>
      <c r="AE764" s="324" t="e">
        <f t="shared" ca="1" si="324"/>
        <v>#N/A</v>
      </c>
      <c r="AG764" s="306">
        <f t="shared" ca="1" si="346"/>
        <v>2.2394886996385903</v>
      </c>
      <c r="AH764" s="304">
        <f t="shared" ca="1" si="347"/>
        <v>-7.5549324521979493</v>
      </c>
    </row>
    <row r="765" spans="1:34" x14ac:dyDescent="0.2">
      <c r="A765" s="347">
        <f t="shared" ca="1" si="325"/>
        <v>1E-4</v>
      </c>
      <c r="B765" s="304">
        <f t="shared" ca="1" si="326"/>
        <v>37.702400000000303</v>
      </c>
      <c r="D765" s="306">
        <f t="shared" ca="1" si="327"/>
        <v>-0.42560339888360482</v>
      </c>
      <c r="E765" s="307">
        <f t="shared" ca="1" si="328"/>
        <v>-2.267029515671612</v>
      </c>
      <c r="F765" s="304">
        <f t="shared" ca="1" si="329"/>
        <v>2.3066341448239123</v>
      </c>
      <c r="G765" s="306">
        <f t="shared" ca="1" si="330"/>
        <v>7.4413189191978786</v>
      </c>
      <c r="H765" s="307">
        <f t="shared" ca="1" si="331"/>
        <v>-131.88350148554363</v>
      </c>
      <c r="I765" s="304">
        <f t="shared" ca="1" si="332"/>
        <v>132.09326701745476</v>
      </c>
      <c r="J765" s="306">
        <f t="shared" ca="1" si="333"/>
        <v>515.22511340180665</v>
      </c>
      <c r="K765" s="307">
        <f t="shared" ca="1" si="334"/>
        <v>-3.2241919217956436</v>
      </c>
      <c r="L765" s="304">
        <f t="shared" ca="1" si="319"/>
        <v>515.23520152785864</v>
      </c>
      <c r="M765" s="306">
        <f t="shared" ca="1" si="335"/>
        <v>-1.5144326637866137</v>
      </c>
      <c r="N765" s="304">
        <f t="shared" ca="1" si="336"/>
        <v>-86.77059999172775</v>
      </c>
      <c r="P765" s="310">
        <f t="shared" ca="1" si="337"/>
        <v>23</v>
      </c>
      <c r="Q765" s="304">
        <f t="shared" ca="1" si="338"/>
        <v>0</v>
      </c>
      <c r="R765" s="306">
        <f t="shared" ca="1" si="339"/>
        <v>0</v>
      </c>
      <c r="S765" s="307">
        <f t="shared" ca="1" si="340"/>
        <v>7.4819999999999904</v>
      </c>
      <c r="T765" s="304">
        <f t="shared" ca="1" si="320"/>
        <v>73.398419999999916</v>
      </c>
      <c r="U765" s="311">
        <f t="shared" ca="1" si="321"/>
        <v>0</v>
      </c>
      <c r="V765" s="306">
        <f t="shared" ca="1" si="322"/>
        <v>1.2253950271925944</v>
      </c>
      <c r="W765" s="304">
        <f t="shared" ca="1" si="323"/>
        <v>56.526537037428035</v>
      </c>
      <c r="Y765" s="314" t="str">
        <f t="shared" ca="1" si="341"/>
        <v/>
      </c>
      <c r="Z765" s="315" t="str">
        <f t="shared" ca="1" si="342"/>
        <v/>
      </c>
      <c r="AA765" s="316" t="str">
        <f t="shared" ca="1" si="343"/>
        <v/>
      </c>
      <c r="AC765" s="310" t="e">
        <f t="shared" ca="1" si="344"/>
        <v>#N/A</v>
      </c>
      <c r="AD765" s="323" t="e">
        <f t="shared" ca="1" si="345"/>
        <v>#N/A</v>
      </c>
      <c r="AE765" s="324" t="e">
        <f t="shared" ca="1" si="324"/>
        <v>#N/A</v>
      </c>
      <c r="AG765" s="306">
        <f t="shared" ca="1" si="346"/>
        <v>2.239453349985058</v>
      </c>
      <c r="AH765" s="304">
        <f t="shared" ca="1" si="347"/>
        <v>-7.5549680330621198</v>
      </c>
    </row>
    <row r="766" spans="1:34" x14ac:dyDescent="0.2">
      <c r="A766" s="347">
        <f t="shared" ca="1" si="325"/>
        <v>1E-4</v>
      </c>
      <c r="B766" s="304">
        <f t="shared" ca="1" si="326"/>
        <v>37.702500000000306</v>
      </c>
      <c r="D766" s="306">
        <f t="shared" ca="1" si="327"/>
        <v>-0.42560224752054554</v>
      </c>
      <c r="E766" s="307">
        <f t="shared" ca="1" si="328"/>
        <v>-2.2669938135137686</v>
      </c>
      <c r="F766" s="304">
        <f t="shared" ca="1" si="329"/>
        <v>2.3065988432330924</v>
      </c>
      <c r="G766" s="306">
        <f t="shared" ca="1" si="330"/>
        <v>7.4412763589731261</v>
      </c>
      <c r="H766" s="307">
        <f t="shared" ca="1" si="331"/>
        <v>-131.88372818492499</v>
      </c>
      <c r="I766" s="304">
        <f t="shared" ca="1" si="332"/>
        <v>132.0934909592664</v>
      </c>
      <c r="J766" s="306">
        <f t="shared" ca="1" si="333"/>
        <v>515.22511340180665</v>
      </c>
      <c r="K766" s="307">
        <f t="shared" ca="1" si="334"/>
        <v>-3.2373802832791672</v>
      </c>
      <c r="L766" s="304">
        <f t="shared" ca="1" si="319"/>
        <v>515.23528422556922</v>
      </c>
      <c r="M766" s="306">
        <f t="shared" ca="1" si="335"/>
        <v>-1.5144330821530405</v>
      </c>
      <c r="N766" s="304">
        <f t="shared" ca="1" si="336"/>
        <v>-86.7706239623583</v>
      </c>
      <c r="P766" s="310">
        <f t="shared" ca="1" si="337"/>
        <v>23</v>
      </c>
      <c r="Q766" s="304">
        <f t="shared" ca="1" si="338"/>
        <v>0</v>
      </c>
      <c r="R766" s="306">
        <f t="shared" ca="1" si="339"/>
        <v>0</v>
      </c>
      <c r="S766" s="307">
        <f t="shared" ca="1" si="340"/>
        <v>7.4819999999999904</v>
      </c>
      <c r="T766" s="304">
        <f t="shared" ca="1" si="320"/>
        <v>73.398419999999916</v>
      </c>
      <c r="U766" s="311">
        <f t="shared" ca="1" si="321"/>
        <v>0</v>
      </c>
      <c r="V766" s="306">
        <f t="shared" ca="1" si="322"/>
        <v>1.2253966432889603</v>
      </c>
      <c r="W766" s="304">
        <f t="shared" ca="1" si="323"/>
        <v>56.526803249516888</v>
      </c>
      <c r="Y766" s="314" t="str">
        <f t="shared" ca="1" si="341"/>
        <v/>
      </c>
      <c r="Z766" s="315" t="str">
        <f t="shared" ca="1" si="342"/>
        <v/>
      </c>
      <c r="AA766" s="316" t="str">
        <f t="shared" ca="1" si="343"/>
        <v/>
      </c>
      <c r="AC766" s="310" t="e">
        <f t="shared" ca="1" si="344"/>
        <v>#N/A</v>
      </c>
      <c r="AD766" s="323" t="e">
        <f t="shared" ca="1" si="345"/>
        <v>#N/A</v>
      </c>
      <c r="AE766" s="324" t="e">
        <f t="shared" ca="1" si="324"/>
        <v>#N/A</v>
      </c>
      <c r="AG766" s="306">
        <f t="shared" ca="1" si="346"/>
        <v>2.2394180005907893</v>
      </c>
      <c r="AH766" s="304">
        <f t="shared" ca="1" si="347"/>
        <v>-7.5550036136632057</v>
      </c>
    </row>
    <row r="767" spans="1:34" x14ac:dyDescent="0.2">
      <c r="A767" s="347">
        <f t="shared" ca="1" si="325"/>
        <v>1E-4</v>
      </c>
      <c r="B767" s="304">
        <f t="shared" ca="1" si="326"/>
        <v>37.702600000000309</v>
      </c>
      <c r="D767" s="306">
        <f t="shared" ca="1" si="327"/>
        <v>-0.42560109614161584</v>
      </c>
      <c r="E767" s="307">
        <f t="shared" ca="1" si="328"/>
        <v>-2.2669581116198678</v>
      </c>
      <c r="F767" s="304">
        <f t="shared" ca="1" si="329"/>
        <v>2.3065635419116601</v>
      </c>
      <c r="G767" s="306">
        <f t="shared" ca="1" si="330"/>
        <v>7.4412337988635118</v>
      </c>
      <c r="H767" s="307">
        <f t="shared" ca="1" si="331"/>
        <v>-131.88395488073616</v>
      </c>
      <c r="I767" s="304">
        <f t="shared" ca="1" si="332"/>
        <v>132.09371489754309</v>
      </c>
      <c r="J767" s="306">
        <f t="shared" ca="1" si="333"/>
        <v>515.22511340180665</v>
      </c>
      <c r="K767" s="307">
        <f t="shared" ca="1" si="334"/>
        <v>-3.2505686674324501</v>
      </c>
      <c r="L767" s="304">
        <f t="shared" ca="1" si="319"/>
        <v>515.23536726098905</v>
      </c>
      <c r="M767" s="306">
        <f t="shared" ca="1" si="335"/>
        <v>-1.514433500515656</v>
      </c>
      <c r="N767" s="304">
        <f t="shared" ca="1" si="336"/>
        <v>-86.770647932770473</v>
      </c>
      <c r="P767" s="310">
        <f t="shared" ca="1" si="337"/>
        <v>23</v>
      </c>
      <c r="Q767" s="304">
        <f t="shared" ca="1" si="338"/>
        <v>0</v>
      </c>
      <c r="R767" s="306">
        <f t="shared" ca="1" si="339"/>
        <v>0</v>
      </c>
      <c r="S767" s="307">
        <f t="shared" ca="1" si="340"/>
        <v>7.4819999999999904</v>
      </c>
      <c r="T767" s="304">
        <f t="shared" ca="1" si="320"/>
        <v>73.398419999999916</v>
      </c>
      <c r="U767" s="311">
        <f t="shared" ca="1" si="321"/>
        <v>0</v>
      </c>
      <c r="V767" s="306">
        <f t="shared" ca="1" si="322"/>
        <v>1.2253982593902355</v>
      </c>
      <c r="W767" s="304">
        <f t="shared" ca="1" si="323"/>
        <v>56.527069459637261</v>
      </c>
      <c r="Y767" s="314" t="str">
        <f t="shared" ca="1" si="341"/>
        <v/>
      </c>
      <c r="Z767" s="315" t="str">
        <f t="shared" ca="1" si="342"/>
        <v/>
      </c>
      <c r="AA767" s="316" t="str">
        <f t="shared" ca="1" si="343"/>
        <v/>
      </c>
      <c r="AC767" s="310" t="e">
        <f t="shared" ca="1" si="344"/>
        <v>#N/A</v>
      </c>
      <c r="AD767" s="323" t="e">
        <f t="shared" ca="1" si="345"/>
        <v>#N/A</v>
      </c>
      <c r="AE767" s="324" t="e">
        <f t="shared" ca="1" si="324"/>
        <v>#N/A</v>
      </c>
      <c r="AG767" s="306">
        <f t="shared" ca="1" si="346"/>
        <v>2.239382651455796</v>
      </c>
      <c r="AH767" s="304">
        <f t="shared" ca="1" si="347"/>
        <v>-7.5550391940011972</v>
      </c>
    </row>
    <row r="768" spans="1:34" x14ac:dyDescent="0.2">
      <c r="A768" s="347">
        <f t="shared" ca="1" si="325"/>
        <v>1E-4</v>
      </c>
      <c r="B768" s="304">
        <f t="shared" ca="1" si="326"/>
        <v>37.702700000000313</v>
      </c>
      <c r="D768" s="306">
        <f t="shared" ca="1" si="327"/>
        <v>-0.42559994474681639</v>
      </c>
      <c r="E768" s="307">
        <f t="shared" ca="1" si="328"/>
        <v>-2.2669224099899097</v>
      </c>
      <c r="F768" s="304">
        <f t="shared" ca="1" si="329"/>
        <v>2.3065282408596159</v>
      </c>
      <c r="G768" s="306">
        <f t="shared" ca="1" si="330"/>
        <v>7.4411912388690373</v>
      </c>
      <c r="H768" s="307">
        <f t="shared" ca="1" si="331"/>
        <v>-131.88418157297716</v>
      </c>
      <c r="I768" s="304">
        <f t="shared" ca="1" si="332"/>
        <v>132.09393883228492</v>
      </c>
      <c r="J768" s="306">
        <f t="shared" ca="1" si="333"/>
        <v>515.22511340180665</v>
      </c>
      <c r="K768" s="307">
        <f t="shared" ca="1" si="334"/>
        <v>-3.2637570742551358</v>
      </c>
      <c r="L768" s="304">
        <f t="shared" ca="1" si="319"/>
        <v>515.23545063411962</v>
      </c>
      <c r="M768" s="306">
        <f t="shared" ca="1" si="335"/>
        <v>-1.51443391887446</v>
      </c>
      <c r="N768" s="304">
        <f t="shared" ca="1" si="336"/>
        <v>-86.770671902964267</v>
      </c>
      <c r="P768" s="310">
        <f t="shared" ca="1" si="337"/>
        <v>23</v>
      </c>
      <c r="Q768" s="304">
        <f t="shared" ca="1" si="338"/>
        <v>0</v>
      </c>
      <c r="R768" s="306">
        <f t="shared" ca="1" si="339"/>
        <v>0</v>
      </c>
      <c r="S768" s="307">
        <f t="shared" ca="1" si="340"/>
        <v>7.4819999999999904</v>
      </c>
      <c r="T768" s="304">
        <f t="shared" ca="1" si="320"/>
        <v>73.398419999999916</v>
      </c>
      <c r="U768" s="311">
        <f t="shared" ca="1" si="321"/>
        <v>0</v>
      </c>
      <c r="V768" s="306">
        <f t="shared" ca="1" si="322"/>
        <v>1.2253998754964204</v>
      </c>
      <c r="W768" s="304">
        <f t="shared" ca="1" si="323"/>
        <v>56.527335667789202</v>
      </c>
      <c r="Y768" s="314" t="str">
        <f t="shared" ca="1" si="341"/>
        <v/>
      </c>
      <c r="Z768" s="315" t="str">
        <f t="shared" ca="1" si="342"/>
        <v/>
      </c>
      <c r="AA768" s="316" t="str">
        <f t="shared" ca="1" si="343"/>
        <v/>
      </c>
      <c r="AC768" s="310" t="e">
        <f t="shared" ca="1" si="344"/>
        <v>#N/A</v>
      </c>
      <c r="AD768" s="323" t="e">
        <f t="shared" ca="1" si="345"/>
        <v>#N/A</v>
      </c>
      <c r="AE768" s="324" t="e">
        <f t="shared" ca="1" si="324"/>
        <v>#N/A</v>
      </c>
      <c r="AG768" s="306">
        <f t="shared" ca="1" si="346"/>
        <v>2.2393473025800752</v>
      </c>
      <c r="AH768" s="304">
        <f t="shared" ca="1" si="347"/>
        <v>-7.5550747740760933</v>
      </c>
    </row>
    <row r="769" spans="1:34" x14ac:dyDescent="0.2">
      <c r="A769" s="347">
        <f t="shared" ca="1" si="325"/>
        <v>1E-4</v>
      </c>
      <c r="B769" s="304">
        <f t="shared" ca="1" si="326"/>
        <v>37.702800000000316</v>
      </c>
      <c r="D769" s="306">
        <f t="shared" ca="1" si="327"/>
        <v>-0.42559879333614836</v>
      </c>
      <c r="E769" s="307">
        <f t="shared" ca="1" si="328"/>
        <v>-2.2668867086238871</v>
      </c>
      <c r="F769" s="304">
        <f t="shared" ca="1" si="329"/>
        <v>2.3064929400769527</v>
      </c>
      <c r="G769" s="306">
        <f t="shared" ca="1" si="330"/>
        <v>7.4411486789897037</v>
      </c>
      <c r="H769" s="307">
        <f t="shared" ca="1" si="331"/>
        <v>-131.88440826164802</v>
      </c>
      <c r="I769" s="304">
        <f t="shared" ca="1" si="332"/>
        <v>132.09416276349185</v>
      </c>
      <c r="J769" s="306">
        <f t="shared" ca="1" si="333"/>
        <v>515.22511340180665</v>
      </c>
      <c r="K769" s="307">
        <f t="shared" ca="1" si="334"/>
        <v>-3.2769455037468669</v>
      </c>
      <c r="L769" s="304">
        <f t="shared" ca="1" si="319"/>
        <v>515.2355343449625</v>
      </c>
      <c r="M769" s="306">
        <f t="shared" ca="1" si="335"/>
        <v>-1.5144343372294529</v>
      </c>
      <c r="N769" s="304">
        <f t="shared" ca="1" si="336"/>
        <v>-86.770695872939697</v>
      </c>
      <c r="P769" s="310">
        <f t="shared" ca="1" si="337"/>
        <v>23</v>
      </c>
      <c r="Q769" s="304">
        <f t="shared" ca="1" si="338"/>
        <v>0</v>
      </c>
      <c r="R769" s="306">
        <f t="shared" ca="1" si="339"/>
        <v>0</v>
      </c>
      <c r="S769" s="307">
        <f t="shared" ca="1" si="340"/>
        <v>7.4819999999999904</v>
      </c>
      <c r="T769" s="304">
        <f t="shared" ca="1" si="320"/>
        <v>73.398419999999916</v>
      </c>
      <c r="U769" s="311">
        <f t="shared" ca="1" si="321"/>
        <v>0</v>
      </c>
      <c r="V769" s="306">
        <f t="shared" ca="1" si="322"/>
        <v>1.2254014916075147</v>
      </c>
      <c r="W769" s="304">
        <f t="shared" ca="1" si="323"/>
        <v>56.527601873972664</v>
      </c>
      <c r="Y769" s="314" t="str">
        <f t="shared" ca="1" si="341"/>
        <v/>
      </c>
      <c r="Z769" s="315" t="str">
        <f t="shared" ca="1" si="342"/>
        <v/>
      </c>
      <c r="AA769" s="316" t="str">
        <f t="shared" ca="1" si="343"/>
        <v/>
      </c>
      <c r="AC769" s="310" t="e">
        <f t="shared" ca="1" si="344"/>
        <v>#N/A</v>
      </c>
      <c r="AD769" s="323" t="e">
        <f t="shared" ca="1" si="345"/>
        <v>#N/A</v>
      </c>
      <c r="AE769" s="324" t="e">
        <f t="shared" ca="1" si="324"/>
        <v>#N/A</v>
      </c>
      <c r="AG769" s="306">
        <f t="shared" ca="1" si="346"/>
        <v>2.2393119539636235</v>
      </c>
      <c r="AH769" s="304">
        <f t="shared" ca="1" si="347"/>
        <v>-7.5551103538879012</v>
      </c>
    </row>
    <row r="770" spans="1:34" x14ac:dyDescent="0.2">
      <c r="A770" s="347">
        <f t="shared" ca="1" si="325"/>
        <v>1E-4</v>
      </c>
      <c r="B770" s="304">
        <f t="shared" ca="1" si="326"/>
        <v>37.702900000000319</v>
      </c>
      <c r="D770" s="306">
        <f t="shared" ca="1" si="327"/>
        <v>-0.42559764190961025</v>
      </c>
      <c r="E770" s="307">
        <f t="shared" ca="1" si="328"/>
        <v>-2.2668510075218089</v>
      </c>
      <c r="F770" s="304">
        <f t="shared" ca="1" si="329"/>
        <v>2.3064576395636798</v>
      </c>
      <c r="G770" s="306">
        <f t="shared" ca="1" si="330"/>
        <v>7.4411061192255126</v>
      </c>
      <c r="H770" s="307">
        <f t="shared" ca="1" si="331"/>
        <v>-131.88463494674878</v>
      </c>
      <c r="I770" s="304">
        <f t="shared" ca="1" si="332"/>
        <v>132.094386691164</v>
      </c>
      <c r="J770" s="306">
        <f t="shared" ca="1" si="333"/>
        <v>515.22511340180665</v>
      </c>
      <c r="K770" s="307">
        <f t="shared" ca="1" si="334"/>
        <v>-3.2901339559072866</v>
      </c>
      <c r="L770" s="304">
        <f t="shared" ca="1" si="319"/>
        <v>515.23561839351942</v>
      </c>
      <c r="M770" s="306">
        <f t="shared" ca="1" si="335"/>
        <v>-1.5144347555806348</v>
      </c>
      <c r="N770" s="304">
        <f t="shared" ca="1" si="336"/>
        <v>-86.770719842696764</v>
      </c>
      <c r="P770" s="310">
        <f t="shared" ca="1" si="337"/>
        <v>23</v>
      </c>
      <c r="Q770" s="304">
        <f t="shared" ca="1" si="338"/>
        <v>0</v>
      </c>
      <c r="R770" s="306">
        <f t="shared" ca="1" si="339"/>
        <v>0</v>
      </c>
      <c r="S770" s="307">
        <f t="shared" ca="1" si="340"/>
        <v>7.4819999999999904</v>
      </c>
      <c r="T770" s="304">
        <f t="shared" ca="1" si="320"/>
        <v>73.398419999999916</v>
      </c>
      <c r="U770" s="311">
        <f t="shared" ca="1" si="321"/>
        <v>0</v>
      </c>
      <c r="V770" s="306">
        <f t="shared" ca="1" si="322"/>
        <v>1.2254031077235192</v>
      </c>
      <c r="W770" s="304">
        <f t="shared" ca="1" si="323"/>
        <v>56.527868078187744</v>
      </c>
      <c r="Y770" s="314" t="str">
        <f t="shared" ca="1" si="341"/>
        <v/>
      </c>
      <c r="Z770" s="315" t="str">
        <f t="shared" ca="1" si="342"/>
        <v/>
      </c>
      <c r="AA770" s="316" t="str">
        <f t="shared" ca="1" si="343"/>
        <v/>
      </c>
      <c r="AC770" s="310" t="e">
        <f t="shared" ca="1" si="344"/>
        <v>#N/A</v>
      </c>
      <c r="AD770" s="323" t="e">
        <f t="shared" ca="1" si="345"/>
        <v>#N/A</v>
      </c>
      <c r="AE770" s="324" t="e">
        <f t="shared" ca="1" si="324"/>
        <v>#N/A</v>
      </c>
      <c r="AG770" s="306">
        <f t="shared" ca="1" si="346"/>
        <v>2.239276605606447</v>
      </c>
      <c r="AH770" s="304">
        <f t="shared" ca="1" si="347"/>
        <v>-7.5551459334366129</v>
      </c>
    </row>
    <row r="771" spans="1:34" x14ac:dyDescent="0.2">
      <c r="A771" s="347">
        <f t="shared" ca="1" si="325"/>
        <v>1E-4</v>
      </c>
      <c r="B771" s="304">
        <f t="shared" ca="1" si="326"/>
        <v>37.703000000000323</v>
      </c>
      <c r="D771" s="306">
        <f t="shared" ca="1" si="327"/>
        <v>-0.4255964904672021</v>
      </c>
      <c r="E771" s="307">
        <f t="shared" ca="1" si="328"/>
        <v>-2.2668153066836592</v>
      </c>
      <c r="F771" s="304">
        <f t="shared" ca="1" si="329"/>
        <v>2.3064223393197811</v>
      </c>
      <c r="G771" s="306">
        <f t="shared" ca="1" si="330"/>
        <v>7.4410635595764658</v>
      </c>
      <c r="H771" s="307">
        <f t="shared" ca="1" si="331"/>
        <v>-131.88486162827945</v>
      </c>
      <c r="I771" s="304">
        <f t="shared" ca="1" si="332"/>
        <v>132.09461061530132</v>
      </c>
      <c r="J771" s="306">
        <f t="shared" ca="1" si="333"/>
        <v>515.22511340180665</v>
      </c>
      <c r="K771" s="307">
        <f t="shared" ca="1" si="334"/>
        <v>-3.303322430736038</v>
      </c>
      <c r="L771" s="304">
        <f t="shared" ca="1" si="319"/>
        <v>515.23570277979172</v>
      </c>
      <c r="M771" s="306">
        <f t="shared" ca="1" si="335"/>
        <v>-1.5144351739280053</v>
      </c>
      <c r="N771" s="304">
        <f t="shared" ca="1" si="336"/>
        <v>-86.770743812235466</v>
      </c>
      <c r="P771" s="310">
        <f t="shared" ca="1" si="337"/>
        <v>23</v>
      </c>
      <c r="Q771" s="304">
        <f t="shared" ca="1" si="338"/>
        <v>0</v>
      </c>
      <c r="R771" s="306">
        <f t="shared" ca="1" si="339"/>
        <v>0</v>
      </c>
      <c r="S771" s="307">
        <f t="shared" ca="1" si="340"/>
        <v>7.4819999999999904</v>
      </c>
      <c r="T771" s="304">
        <f t="shared" ca="1" si="320"/>
        <v>73.398419999999916</v>
      </c>
      <c r="U771" s="311">
        <f t="shared" ca="1" si="321"/>
        <v>0</v>
      </c>
      <c r="V771" s="306">
        <f t="shared" ca="1" si="322"/>
        <v>1.225404723844433</v>
      </c>
      <c r="W771" s="304">
        <f t="shared" ca="1" si="323"/>
        <v>56.52813428043433</v>
      </c>
      <c r="Y771" s="314" t="str">
        <f t="shared" ca="1" si="341"/>
        <v/>
      </c>
      <c r="Z771" s="315" t="str">
        <f t="shared" ca="1" si="342"/>
        <v/>
      </c>
      <c r="AA771" s="316" t="str">
        <f t="shared" ca="1" si="343"/>
        <v/>
      </c>
      <c r="AC771" s="310" t="e">
        <f t="shared" ca="1" si="344"/>
        <v>#N/A</v>
      </c>
      <c r="AD771" s="323" t="e">
        <f t="shared" ca="1" si="345"/>
        <v>#N/A</v>
      </c>
      <c r="AE771" s="324" t="e">
        <f t="shared" ca="1" si="324"/>
        <v>#N/A</v>
      </c>
      <c r="AG771" s="306">
        <f t="shared" ca="1" si="346"/>
        <v>2.2392412575085316</v>
      </c>
      <c r="AH771" s="304">
        <f t="shared" ca="1" si="347"/>
        <v>-7.5551815127222426</v>
      </c>
    </row>
    <row r="772" spans="1:34" x14ac:dyDescent="0.2">
      <c r="A772" s="347">
        <f t="shared" ca="1" si="325"/>
        <v>1E-4</v>
      </c>
      <c r="B772" s="304">
        <f t="shared" ca="1" si="326"/>
        <v>37.703100000000326</v>
      </c>
      <c r="D772" s="306">
        <f t="shared" ca="1" si="327"/>
        <v>-0.42559533900892699</v>
      </c>
      <c r="E772" s="307">
        <f t="shared" ca="1" si="328"/>
        <v>-2.2667796061094547</v>
      </c>
      <c r="F772" s="304">
        <f t="shared" ca="1" si="329"/>
        <v>2.3063870393452741</v>
      </c>
      <c r="G772" s="306">
        <f t="shared" ca="1" si="330"/>
        <v>7.4410210000425652</v>
      </c>
      <c r="H772" s="307">
        <f t="shared" ca="1" si="331"/>
        <v>-131.88508830624005</v>
      </c>
      <c r="I772" s="304">
        <f t="shared" ca="1" si="332"/>
        <v>132.09483453590383</v>
      </c>
      <c r="J772" s="306">
        <f t="shared" ca="1" si="333"/>
        <v>515.22511340180665</v>
      </c>
      <c r="K772" s="307">
        <f t="shared" ca="1" si="334"/>
        <v>-3.3165109282327641</v>
      </c>
      <c r="L772" s="304">
        <f t="shared" ref="L772:L835" ca="1" si="348">SQRT(pos_x^2+pos_z^2)</f>
        <v>515.23578750378124</v>
      </c>
      <c r="M772" s="306">
        <f t="shared" ca="1" si="335"/>
        <v>-1.5144355922715649</v>
      </c>
      <c r="N772" s="304">
        <f t="shared" ca="1" si="336"/>
        <v>-86.770767781555818</v>
      </c>
      <c r="P772" s="310">
        <f t="shared" ca="1" si="337"/>
        <v>23</v>
      </c>
      <c r="Q772" s="304">
        <f t="shared" ca="1" si="338"/>
        <v>0</v>
      </c>
      <c r="R772" s="306">
        <f t="shared" ca="1" si="339"/>
        <v>0</v>
      </c>
      <c r="S772" s="307">
        <f t="shared" ca="1" si="340"/>
        <v>7.4819999999999904</v>
      </c>
      <c r="T772" s="304">
        <f t="shared" ref="T772:T835" ca="1" si="349">m*g</f>
        <v>73.398419999999916</v>
      </c>
      <c r="U772" s="311">
        <f t="shared" ref="U772:U835" ca="1" si="350">IF(pos_xz&lt;L_rampe,Poids*COS(Beta),0)</f>
        <v>0</v>
      </c>
      <c r="V772" s="306">
        <f t="shared" ref="V772:V835" ca="1" si="351">Rho_moyen*(20000-Alt_rampe-pos_z)/(20000+Alt_rampe+pos_z)</f>
        <v>1.2254063399702564</v>
      </c>
      <c r="W772" s="304">
        <f t="shared" ref="W772:W835" ca="1" si="352">1/2*Rho*Sref*Cx*vit_xz^2</f>
        <v>56.528400480712428</v>
      </c>
      <c r="Y772" s="314" t="str">
        <f t="shared" ca="1" si="341"/>
        <v/>
      </c>
      <c r="Z772" s="315" t="str">
        <f t="shared" ca="1" si="342"/>
        <v/>
      </c>
      <c r="AA772" s="316" t="str">
        <f t="shared" ca="1" si="343"/>
        <v/>
      </c>
      <c r="AC772" s="310" t="e">
        <f t="shared" ca="1" si="344"/>
        <v>#N/A</v>
      </c>
      <c r="AD772" s="323" t="e">
        <f t="shared" ca="1" si="345"/>
        <v>#N/A</v>
      </c>
      <c r="AE772" s="324" t="e">
        <f t="shared" ref="AE772:AE835" ca="1" si="353">IF(t&lt;T_para, pos_z, NA())</f>
        <v>#N/A</v>
      </c>
      <c r="AG772" s="306">
        <f t="shared" ca="1" si="346"/>
        <v>2.2392059096698951</v>
      </c>
      <c r="AH772" s="304">
        <f t="shared" ca="1" si="347"/>
        <v>-7.5552170917447743</v>
      </c>
    </row>
    <row r="773" spans="1:34" x14ac:dyDescent="0.2">
      <c r="A773" s="347">
        <f t="shared" ref="A773:A836" ca="1" si="354">IF(B772+0.01&lt;=T_ini+ROUNDUP(Temps_fin_propu,0), 0.01, IF(K772&gt;0, 0.1, 0.0001))</f>
        <v>1E-4</v>
      </c>
      <c r="B773" s="304">
        <f t="shared" ref="B773:B836" ca="1" si="355">B772+pas</f>
        <v>37.703200000000329</v>
      </c>
      <c r="D773" s="306">
        <f t="shared" ref="D773:D836" ca="1" si="356">IF(AND(L772&lt;L_rampe,Poussee&lt;Poids*SIN(M772)),0,(-W772+Poussee)/m*COS(M772)-U772/m*SIN(M772))</f>
        <v>-0.42559418753478234</v>
      </c>
      <c r="E773" s="307">
        <f t="shared" ref="E773:E836" ca="1" si="357">IF(AND(L772&lt;L_rampe,Poussee&lt;Poids*SIN(M772)),0,(-W772+Poussee)/m*SIN(M772)+U772/m*COS(M772)-Poids/m)</f>
        <v>-2.2667439057991938</v>
      </c>
      <c r="F773" s="304">
        <f t="shared" ref="F773:F836" ca="1" si="358">SQRT(acc_x^2+acc_z^2)</f>
        <v>2.3063517396401565</v>
      </c>
      <c r="G773" s="306">
        <f t="shared" ref="G773:G836" ca="1" si="359">G772+acc_x*pas</f>
        <v>7.4409784406238115</v>
      </c>
      <c r="H773" s="307">
        <f t="shared" ref="H773:H836" ca="1" si="360">H772+acc_z*pas</f>
        <v>-131.88531498063062</v>
      </c>
      <c r="I773" s="304">
        <f t="shared" ref="I773:I836" ca="1" si="361">SQRT(vit_x^2+vit_z^2)</f>
        <v>132.09505845297159</v>
      </c>
      <c r="J773" s="306">
        <f t="shared" ref="J773:J836" ca="1" si="362">J772+0.5*(vit_x+G772)*pas*(K772&gt;=0)</f>
        <v>515.22511340180665</v>
      </c>
      <c r="K773" s="307">
        <f t="shared" ref="K773:K836" ca="1" si="363">K772+0.5*(vit_z+H772)*pas</f>
        <v>-3.3296994483971076</v>
      </c>
      <c r="L773" s="304">
        <f t="shared" ca="1" si="348"/>
        <v>515.23587256548933</v>
      </c>
      <c r="M773" s="306">
        <f t="shared" ref="M773:M836" ca="1" si="364">IF(AND(L772&gt;L_rampe,G773&gt;0),ATAN2(G773,H773),$M$4)</f>
        <v>-1.5144360106113135</v>
      </c>
      <c r="N773" s="304">
        <f t="shared" ref="N773:N836" ca="1" si="365">DEGREES(Beta)</f>
        <v>-86.770791750657821</v>
      </c>
      <c r="P773" s="310">
        <f t="shared" ref="P773:P836" ca="1" si="366">MATCH(t-pas/2-T_ini,CdP_t)</f>
        <v>23</v>
      </c>
      <c r="Q773" s="304">
        <f t="shared" ref="Q773:Q836" ca="1" si="367">(INDEX(CdP,2,i_P+1)-INDEX(CdP,2,i_P+0))/(INDEX(CdP,1,i_P+1)-INDEX(CdP,1,i_P+0))*(t-pas/2-T_ini-INDEX(CdP,1,i_P+0))+INDEX(CdP,2,i_P+0)</f>
        <v>0</v>
      </c>
      <c r="R773" s="306">
        <f t="shared" ref="R773:R836" ca="1" si="368">Poussee/(g*ISP)</f>
        <v>0</v>
      </c>
      <c r="S773" s="307">
        <f t="shared" ref="S773:S836" ca="1" si="369">S772-Débit*pas</f>
        <v>7.4819999999999904</v>
      </c>
      <c r="T773" s="304">
        <f t="shared" ca="1" si="349"/>
        <v>73.398419999999916</v>
      </c>
      <c r="U773" s="311">
        <f t="shared" ca="1" si="350"/>
        <v>0</v>
      </c>
      <c r="V773" s="306">
        <f t="shared" ca="1" si="351"/>
        <v>1.225407956100989</v>
      </c>
      <c r="W773" s="304">
        <f t="shared" ca="1" si="352"/>
        <v>56.528666679022059</v>
      </c>
      <c r="Y773" s="314" t="str">
        <f t="shared" ref="Y773:Y836" ca="1" si="370">IF(AND(pos_z&lt;=0,K772&gt;0),"Impact balistique","") &amp; IF(AND(H774&lt;0,vit_z&gt;=0),"Apogée","") &amp; IF(AND(Poussee=0,Q772&gt;0),"Fin de propulsion","") &amp; IF(AND(L774&gt;L_rampe,pos_xz&lt;=L_rampe),"Sortie de rampe","")</f>
        <v/>
      </c>
      <c r="Z773" s="315" t="str">
        <f t="shared" ref="Z773:Z836" ca="1" si="371">IF(ABS(t-T_para)&lt;pas/2,"Para","")</f>
        <v/>
      </c>
      <c r="AA773" s="316" t="str">
        <f t="shared" ref="AA773:AA836" ca="1" si="372">IF(ABS(t-T_satellite)&lt;pas/2,"Satellite","")</f>
        <v/>
      </c>
      <c r="AC773" s="310" t="e">
        <f t="shared" ref="AC773:AC836" ca="1" si="373">IF(ABS(t-ROUND(t,0))&lt;0.001,t,NA())</f>
        <v>#N/A</v>
      </c>
      <c r="AD773" s="323" t="e">
        <f t="shared" ref="AD773:AD836" ca="1" si="374">IF(ABS(t-ROUND(t,0))&lt;0.001,pos_x,NA())</f>
        <v>#N/A</v>
      </c>
      <c r="AE773" s="324" t="e">
        <f t="shared" ca="1" si="353"/>
        <v>#N/A</v>
      </c>
      <c r="AG773" s="306">
        <f t="shared" ref="AG773:AG836" ca="1" si="375">IF(AND(L772&lt;L_rampe,Poussee&lt;Poids*SIN(M772)),0,(-W772+Poussee)/m-Poids*SIN(M772)/m)</f>
        <v>2.2391705620905356</v>
      </c>
      <c r="AH773" s="304">
        <f t="shared" ref="AH773:AH836" ca="1" si="376">IF(AND(L772&lt;L_rampe,Poussee&lt;Poids*SIN(M772)), g*SIN(M772), (-W772+Poussee)/m)</f>
        <v>-7.5552526705042098</v>
      </c>
    </row>
    <row r="774" spans="1:34" x14ac:dyDescent="0.2">
      <c r="A774" s="347">
        <f t="shared" ca="1" si="354"/>
        <v>1E-4</v>
      </c>
      <c r="B774" s="304">
        <f t="shared" ca="1" si="355"/>
        <v>37.703300000000333</v>
      </c>
      <c r="D774" s="306">
        <f t="shared" ca="1" si="356"/>
        <v>-0.42559303604476922</v>
      </c>
      <c r="E774" s="307">
        <f t="shared" ca="1" si="357"/>
        <v>-2.2667082057528738</v>
      </c>
      <c r="F774" s="304">
        <f t="shared" ca="1" si="358"/>
        <v>2.3063164402044261</v>
      </c>
      <c r="G774" s="306">
        <f t="shared" ca="1" si="359"/>
        <v>7.4409358813202067</v>
      </c>
      <c r="H774" s="307">
        <f t="shared" ca="1" si="360"/>
        <v>-131.88554165145121</v>
      </c>
      <c r="I774" s="304">
        <f t="shared" ca="1" si="361"/>
        <v>132.09528236650465</v>
      </c>
      <c r="J774" s="306">
        <f t="shared" ca="1" si="362"/>
        <v>515.22511340180665</v>
      </c>
      <c r="K774" s="307">
        <f t="shared" ca="1" si="363"/>
        <v>-3.3428879912287117</v>
      </c>
      <c r="L774" s="304">
        <f t="shared" ca="1" si="348"/>
        <v>515.2359579649177</v>
      </c>
      <c r="M774" s="306">
        <f t="shared" ca="1" si="364"/>
        <v>-1.5144364289472509</v>
      </c>
      <c r="N774" s="304">
        <f t="shared" ca="1" si="365"/>
        <v>-86.77081571954146</v>
      </c>
      <c r="P774" s="310">
        <f t="shared" ca="1" si="366"/>
        <v>23</v>
      </c>
      <c r="Q774" s="304">
        <f t="shared" ca="1" si="367"/>
        <v>0</v>
      </c>
      <c r="R774" s="306">
        <f t="shared" ca="1" si="368"/>
        <v>0</v>
      </c>
      <c r="S774" s="307">
        <f t="shared" ca="1" si="369"/>
        <v>7.4819999999999904</v>
      </c>
      <c r="T774" s="304">
        <f t="shared" ca="1" si="349"/>
        <v>73.398419999999916</v>
      </c>
      <c r="U774" s="311">
        <f t="shared" ca="1" si="350"/>
        <v>0</v>
      </c>
      <c r="V774" s="306">
        <f t="shared" ca="1" si="351"/>
        <v>1.2254095722366309</v>
      </c>
      <c r="W774" s="304">
        <f t="shared" ca="1" si="352"/>
        <v>56.528932875363274</v>
      </c>
      <c r="Y774" s="314" t="str">
        <f t="shared" ca="1" si="370"/>
        <v/>
      </c>
      <c r="Z774" s="315" t="str">
        <f t="shared" ca="1" si="371"/>
        <v/>
      </c>
      <c r="AA774" s="316" t="str">
        <f t="shared" ca="1" si="372"/>
        <v/>
      </c>
      <c r="AC774" s="310" t="e">
        <f t="shared" ca="1" si="373"/>
        <v>#N/A</v>
      </c>
      <c r="AD774" s="323" t="e">
        <f t="shared" ca="1" si="374"/>
        <v>#N/A</v>
      </c>
      <c r="AE774" s="324" t="e">
        <f t="shared" ca="1" si="353"/>
        <v>#N/A</v>
      </c>
      <c r="AG774" s="306">
        <f t="shared" ca="1" si="375"/>
        <v>2.2391352147704477</v>
      </c>
      <c r="AH774" s="304">
        <f t="shared" ca="1" si="376"/>
        <v>-7.5552882490005526</v>
      </c>
    </row>
    <row r="775" spans="1:34" x14ac:dyDescent="0.2">
      <c r="A775" s="347">
        <f t="shared" ca="1" si="354"/>
        <v>1E-4</v>
      </c>
      <c r="B775" s="304">
        <f t="shared" ca="1" si="355"/>
        <v>37.703400000000336</v>
      </c>
      <c r="D775" s="306">
        <f t="shared" ca="1" si="356"/>
        <v>-0.42559188453889024</v>
      </c>
      <c r="E775" s="307">
        <f t="shared" ca="1" si="357"/>
        <v>-2.2666725059704893</v>
      </c>
      <c r="F775" s="304">
        <f t="shared" ca="1" si="358"/>
        <v>2.3062811410380788</v>
      </c>
      <c r="G775" s="306">
        <f t="shared" ca="1" si="359"/>
        <v>7.4408933221317524</v>
      </c>
      <c r="H775" s="307">
        <f t="shared" ca="1" si="360"/>
        <v>-131.88576831870179</v>
      </c>
      <c r="I775" s="304">
        <f t="shared" ca="1" si="361"/>
        <v>132.09550627650296</v>
      </c>
      <c r="J775" s="306">
        <f t="shared" ca="1" si="362"/>
        <v>515.22511340180665</v>
      </c>
      <c r="K775" s="307">
        <f t="shared" ca="1" si="363"/>
        <v>-3.3560765567272193</v>
      </c>
      <c r="L775" s="304">
        <f t="shared" ca="1" si="348"/>
        <v>515.23604370206783</v>
      </c>
      <c r="M775" s="306">
        <f t="shared" ca="1" si="364"/>
        <v>-1.5144368472793777</v>
      </c>
      <c r="N775" s="304">
        <f t="shared" ca="1" si="365"/>
        <v>-86.770839688206749</v>
      </c>
      <c r="P775" s="310">
        <f t="shared" ca="1" si="366"/>
        <v>23</v>
      </c>
      <c r="Q775" s="304">
        <f t="shared" ca="1" si="367"/>
        <v>0</v>
      </c>
      <c r="R775" s="306">
        <f t="shared" ca="1" si="368"/>
        <v>0</v>
      </c>
      <c r="S775" s="307">
        <f t="shared" ca="1" si="369"/>
        <v>7.4819999999999904</v>
      </c>
      <c r="T775" s="304">
        <f t="shared" ca="1" si="349"/>
        <v>73.398419999999916</v>
      </c>
      <c r="U775" s="311">
        <f t="shared" ca="1" si="350"/>
        <v>0</v>
      </c>
      <c r="V775" s="306">
        <f t="shared" ca="1" si="351"/>
        <v>1.2254111883771828</v>
      </c>
      <c r="W775" s="304">
        <f t="shared" ca="1" si="352"/>
        <v>56.529199069735981</v>
      </c>
      <c r="Y775" s="314" t="str">
        <f t="shared" ca="1" si="370"/>
        <v/>
      </c>
      <c r="Z775" s="315" t="str">
        <f t="shared" ca="1" si="371"/>
        <v/>
      </c>
      <c r="AA775" s="316" t="str">
        <f t="shared" ca="1" si="372"/>
        <v/>
      </c>
      <c r="AC775" s="310" t="e">
        <f t="shared" ca="1" si="373"/>
        <v>#N/A</v>
      </c>
      <c r="AD775" s="323" t="e">
        <f t="shared" ca="1" si="374"/>
        <v>#N/A</v>
      </c>
      <c r="AE775" s="324" t="e">
        <f t="shared" ca="1" si="353"/>
        <v>#N/A</v>
      </c>
      <c r="AG775" s="306">
        <f t="shared" ca="1" si="375"/>
        <v>2.2390998677096254</v>
      </c>
      <c r="AH775" s="304">
        <f t="shared" ca="1" si="376"/>
        <v>-7.5553238272338072</v>
      </c>
    </row>
    <row r="776" spans="1:34" x14ac:dyDescent="0.2">
      <c r="A776" s="347">
        <f t="shared" ca="1" si="354"/>
        <v>1E-4</v>
      </c>
      <c r="B776" s="304">
        <f t="shared" ca="1" si="355"/>
        <v>37.703500000000339</v>
      </c>
      <c r="D776" s="306">
        <f t="shared" ca="1" si="356"/>
        <v>-0.42559073301714218</v>
      </c>
      <c r="E776" s="307">
        <f t="shared" ca="1" si="357"/>
        <v>-2.2666368064520519</v>
      </c>
      <c r="F776" s="304">
        <f t="shared" ca="1" si="358"/>
        <v>2.3062458421411245</v>
      </c>
      <c r="G776" s="306">
        <f t="shared" ca="1" si="359"/>
        <v>7.4408507630584504</v>
      </c>
      <c r="H776" s="307">
        <f t="shared" ca="1" si="360"/>
        <v>-131.88599498238244</v>
      </c>
      <c r="I776" s="304">
        <f t="shared" ca="1" si="361"/>
        <v>132.09573018296661</v>
      </c>
      <c r="J776" s="306">
        <f t="shared" ca="1" si="362"/>
        <v>515.22511340180665</v>
      </c>
      <c r="K776" s="307">
        <f t="shared" ca="1" si="363"/>
        <v>-3.3692651448922737</v>
      </c>
      <c r="L776" s="304">
        <f t="shared" ca="1" si="348"/>
        <v>515.23612977694131</v>
      </c>
      <c r="M776" s="306">
        <f t="shared" ca="1" si="364"/>
        <v>-1.5144372656076932</v>
      </c>
      <c r="N776" s="304">
        <f t="shared" ca="1" si="365"/>
        <v>-86.770863656653674</v>
      </c>
      <c r="P776" s="310">
        <f t="shared" ca="1" si="366"/>
        <v>23</v>
      </c>
      <c r="Q776" s="304">
        <f t="shared" ca="1" si="367"/>
        <v>0</v>
      </c>
      <c r="R776" s="306">
        <f t="shared" ca="1" si="368"/>
        <v>0</v>
      </c>
      <c r="S776" s="307">
        <f t="shared" ca="1" si="369"/>
        <v>7.4819999999999904</v>
      </c>
      <c r="T776" s="304">
        <f t="shared" ca="1" si="349"/>
        <v>73.398419999999916</v>
      </c>
      <c r="U776" s="311">
        <f t="shared" ca="1" si="350"/>
        <v>0</v>
      </c>
      <c r="V776" s="306">
        <f t="shared" ca="1" si="351"/>
        <v>1.2254128045226438</v>
      </c>
      <c r="W776" s="304">
        <f t="shared" ca="1" si="352"/>
        <v>56.529465262140221</v>
      </c>
      <c r="Y776" s="314" t="str">
        <f t="shared" ca="1" si="370"/>
        <v/>
      </c>
      <c r="Z776" s="315" t="str">
        <f t="shared" ca="1" si="371"/>
        <v/>
      </c>
      <c r="AA776" s="316" t="str">
        <f t="shared" ca="1" si="372"/>
        <v/>
      </c>
      <c r="AC776" s="310" t="e">
        <f t="shared" ca="1" si="373"/>
        <v>#N/A</v>
      </c>
      <c r="AD776" s="323" t="e">
        <f t="shared" ca="1" si="374"/>
        <v>#N/A</v>
      </c>
      <c r="AE776" s="324" t="e">
        <f t="shared" ca="1" si="353"/>
        <v>#N/A</v>
      </c>
      <c r="AG776" s="306">
        <f t="shared" ca="1" si="375"/>
        <v>2.2390645209080864</v>
      </c>
      <c r="AH776" s="304">
        <f t="shared" ca="1" si="376"/>
        <v>-7.555359405203963</v>
      </c>
    </row>
    <row r="777" spans="1:34" x14ac:dyDescent="0.2">
      <c r="A777" s="347">
        <f t="shared" ca="1" si="354"/>
        <v>1E-4</v>
      </c>
      <c r="B777" s="304">
        <f t="shared" ca="1" si="355"/>
        <v>37.703600000000343</v>
      </c>
      <c r="D777" s="306">
        <f t="shared" ca="1" si="356"/>
        <v>-0.42558958147952941</v>
      </c>
      <c r="E777" s="307">
        <f t="shared" ca="1" si="357"/>
        <v>-2.2666011071975545</v>
      </c>
      <c r="F777" s="304">
        <f t="shared" ca="1" si="358"/>
        <v>2.3062105435135583</v>
      </c>
      <c r="G777" s="306">
        <f t="shared" ca="1" si="359"/>
        <v>7.4408082041003025</v>
      </c>
      <c r="H777" s="307">
        <f t="shared" ca="1" si="360"/>
        <v>-131.88622164249315</v>
      </c>
      <c r="I777" s="304">
        <f t="shared" ca="1" si="361"/>
        <v>132.09595408589558</v>
      </c>
      <c r="J777" s="306">
        <f t="shared" ca="1" si="362"/>
        <v>515.22511340180665</v>
      </c>
      <c r="K777" s="307">
        <f t="shared" ca="1" si="363"/>
        <v>-3.3824537557235175</v>
      </c>
      <c r="L777" s="304">
        <f t="shared" ca="1" si="348"/>
        <v>515.23621618953973</v>
      </c>
      <c r="M777" s="306">
        <f t="shared" ca="1" si="364"/>
        <v>-1.5144376839321982</v>
      </c>
      <c r="N777" s="304">
        <f t="shared" ca="1" si="365"/>
        <v>-86.770887624882292</v>
      </c>
      <c r="P777" s="310">
        <f t="shared" ca="1" si="366"/>
        <v>23</v>
      </c>
      <c r="Q777" s="304">
        <f t="shared" ca="1" si="367"/>
        <v>0</v>
      </c>
      <c r="R777" s="306">
        <f t="shared" ca="1" si="368"/>
        <v>0</v>
      </c>
      <c r="S777" s="307">
        <f t="shared" ca="1" si="369"/>
        <v>7.4819999999999904</v>
      </c>
      <c r="T777" s="304">
        <f t="shared" ca="1" si="349"/>
        <v>73.398419999999916</v>
      </c>
      <c r="U777" s="311">
        <f t="shared" ca="1" si="350"/>
        <v>0</v>
      </c>
      <c r="V777" s="306">
        <f t="shared" ca="1" si="351"/>
        <v>1.2254144206730142</v>
      </c>
      <c r="W777" s="304">
        <f t="shared" ca="1" si="352"/>
        <v>56.529731452575973</v>
      </c>
      <c r="Y777" s="314" t="str">
        <f t="shared" ca="1" si="370"/>
        <v/>
      </c>
      <c r="Z777" s="315" t="str">
        <f t="shared" ca="1" si="371"/>
        <v/>
      </c>
      <c r="AA777" s="316" t="str">
        <f t="shared" ca="1" si="372"/>
        <v/>
      </c>
      <c r="AC777" s="310" t="e">
        <f t="shared" ca="1" si="373"/>
        <v>#N/A</v>
      </c>
      <c r="AD777" s="323" t="e">
        <f t="shared" ca="1" si="374"/>
        <v>#N/A</v>
      </c>
      <c r="AE777" s="324" t="e">
        <f t="shared" ca="1" si="353"/>
        <v>#N/A</v>
      </c>
      <c r="AG777" s="306">
        <f t="shared" ca="1" si="375"/>
        <v>2.2390291743658182</v>
      </c>
      <c r="AH777" s="304">
        <f t="shared" ca="1" si="376"/>
        <v>-7.5553949829110252</v>
      </c>
    </row>
    <row r="778" spans="1:34" x14ac:dyDescent="0.2">
      <c r="A778" s="347">
        <f t="shared" ca="1" si="354"/>
        <v>1E-4</v>
      </c>
      <c r="B778" s="304">
        <f t="shared" ca="1" si="355"/>
        <v>37.703700000000346</v>
      </c>
      <c r="D778" s="306">
        <f t="shared" ca="1" si="356"/>
        <v>-0.42558842992604756</v>
      </c>
      <c r="E778" s="307">
        <f t="shared" ca="1" si="357"/>
        <v>-2.2665654082070006</v>
      </c>
      <c r="F778" s="304">
        <f t="shared" ca="1" si="358"/>
        <v>2.3061752451553819</v>
      </c>
      <c r="G778" s="306">
        <f t="shared" ca="1" si="359"/>
        <v>7.4407656452573097</v>
      </c>
      <c r="H778" s="307">
        <f t="shared" ca="1" si="360"/>
        <v>-131.88644829903399</v>
      </c>
      <c r="I778" s="304">
        <f t="shared" ca="1" si="361"/>
        <v>132.09617798528998</v>
      </c>
      <c r="J778" s="306">
        <f t="shared" ca="1" si="362"/>
        <v>515.22511340180665</v>
      </c>
      <c r="K778" s="307">
        <f t="shared" ca="1" si="363"/>
        <v>-3.395642389220594</v>
      </c>
      <c r="L778" s="304">
        <f t="shared" ca="1" si="348"/>
        <v>515.23630293986469</v>
      </c>
      <c r="M778" s="306">
        <f t="shared" ca="1" si="364"/>
        <v>-1.5144381022528923</v>
      </c>
      <c r="N778" s="304">
        <f t="shared" ca="1" si="365"/>
        <v>-86.770911592892546</v>
      </c>
      <c r="P778" s="310">
        <f t="shared" ca="1" si="366"/>
        <v>23</v>
      </c>
      <c r="Q778" s="304">
        <f t="shared" ca="1" si="367"/>
        <v>0</v>
      </c>
      <c r="R778" s="306">
        <f t="shared" ca="1" si="368"/>
        <v>0</v>
      </c>
      <c r="S778" s="307">
        <f t="shared" ca="1" si="369"/>
        <v>7.4819999999999904</v>
      </c>
      <c r="T778" s="304">
        <f t="shared" ca="1" si="349"/>
        <v>73.398419999999916</v>
      </c>
      <c r="U778" s="311">
        <f t="shared" ca="1" si="350"/>
        <v>0</v>
      </c>
      <c r="V778" s="306">
        <f t="shared" ca="1" si="351"/>
        <v>1.225416036828294</v>
      </c>
      <c r="W778" s="304">
        <f t="shared" ca="1" si="352"/>
        <v>56.529997641043302</v>
      </c>
      <c r="Y778" s="314" t="str">
        <f t="shared" ca="1" si="370"/>
        <v/>
      </c>
      <c r="Z778" s="315" t="str">
        <f t="shared" ca="1" si="371"/>
        <v/>
      </c>
      <c r="AA778" s="316" t="str">
        <f t="shared" ca="1" si="372"/>
        <v/>
      </c>
      <c r="AC778" s="310" t="e">
        <f t="shared" ca="1" si="373"/>
        <v>#N/A</v>
      </c>
      <c r="AD778" s="323" t="e">
        <f t="shared" ca="1" si="374"/>
        <v>#N/A</v>
      </c>
      <c r="AE778" s="324" t="e">
        <f t="shared" ca="1" si="353"/>
        <v>#N/A</v>
      </c>
      <c r="AG778" s="306">
        <f t="shared" ca="1" si="375"/>
        <v>2.238993828082827</v>
      </c>
      <c r="AH778" s="304">
        <f t="shared" ca="1" si="376"/>
        <v>-7.5554305603549912</v>
      </c>
    </row>
    <row r="779" spans="1:34" x14ac:dyDescent="0.2">
      <c r="A779" s="347">
        <f t="shared" ca="1" si="354"/>
        <v>1E-4</v>
      </c>
      <c r="B779" s="304">
        <f t="shared" ca="1" si="355"/>
        <v>37.703800000000349</v>
      </c>
      <c r="D779" s="306">
        <f t="shared" ca="1" si="356"/>
        <v>-0.42558727835670113</v>
      </c>
      <c r="E779" s="307">
        <f t="shared" ca="1" si="357"/>
        <v>-2.266529709480384</v>
      </c>
      <c r="F779" s="304">
        <f t="shared" ca="1" si="358"/>
        <v>2.3061399470665909</v>
      </c>
      <c r="G779" s="306">
        <f t="shared" ca="1" si="359"/>
        <v>7.4407230865294736</v>
      </c>
      <c r="H779" s="307">
        <f t="shared" ca="1" si="360"/>
        <v>-131.88667495200494</v>
      </c>
      <c r="I779" s="304">
        <f t="shared" ca="1" si="361"/>
        <v>132.09640188114972</v>
      </c>
      <c r="J779" s="306">
        <f t="shared" ca="1" si="362"/>
        <v>515.22511340180665</v>
      </c>
      <c r="K779" s="307">
        <f t="shared" ca="1" si="363"/>
        <v>-3.4088310453831459</v>
      </c>
      <c r="L779" s="304">
        <f t="shared" ca="1" si="348"/>
        <v>515.23639002791765</v>
      </c>
      <c r="M779" s="306">
        <f t="shared" ca="1" si="364"/>
        <v>-1.5144385205697759</v>
      </c>
      <c r="N779" s="304">
        <f t="shared" ca="1" si="365"/>
        <v>-86.770935560684464</v>
      </c>
      <c r="P779" s="310">
        <f t="shared" ca="1" si="366"/>
        <v>23</v>
      </c>
      <c r="Q779" s="304">
        <f t="shared" ca="1" si="367"/>
        <v>0</v>
      </c>
      <c r="R779" s="306">
        <f t="shared" ca="1" si="368"/>
        <v>0</v>
      </c>
      <c r="S779" s="307">
        <f t="shared" ca="1" si="369"/>
        <v>7.4819999999999904</v>
      </c>
      <c r="T779" s="304">
        <f t="shared" ca="1" si="349"/>
        <v>73.398419999999916</v>
      </c>
      <c r="U779" s="311">
        <f t="shared" ca="1" si="350"/>
        <v>0</v>
      </c>
      <c r="V779" s="306">
        <f t="shared" ca="1" si="351"/>
        <v>1.2254176529884835</v>
      </c>
      <c r="W779" s="304">
        <f t="shared" ca="1" si="352"/>
        <v>56.530263827542107</v>
      </c>
      <c r="Y779" s="314" t="str">
        <f t="shared" ca="1" si="370"/>
        <v/>
      </c>
      <c r="Z779" s="315" t="str">
        <f t="shared" ca="1" si="371"/>
        <v/>
      </c>
      <c r="AA779" s="316" t="str">
        <f t="shared" ca="1" si="372"/>
        <v/>
      </c>
      <c r="AC779" s="310" t="e">
        <f t="shared" ca="1" si="373"/>
        <v>#N/A</v>
      </c>
      <c r="AD779" s="323" t="e">
        <f t="shared" ca="1" si="374"/>
        <v>#N/A</v>
      </c>
      <c r="AE779" s="324" t="e">
        <f t="shared" ca="1" si="353"/>
        <v>#N/A</v>
      </c>
      <c r="AG779" s="306">
        <f t="shared" ca="1" si="375"/>
        <v>2.2389584820591031</v>
      </c>
      <c r="AH779" s="304">
        <f t="shared" ca="1" si="376"/>
        <v>-7.5554661375358689</v>
      </c>
    </row>
    <row r="780" spans="1:34" x14ac:dyDescent="0.2">
      <c r="A780" s="347">
        <f t="shared" ca="1" si="354"/>
        <v>1E-4</v>
      </c>
      <c r="B780" s="304">
        <f t="shared" ca="1" si="355"/>
        <v>37.703900000000353</v>
      </c>
      <c r="D780" s="306">
        <f t="shared" ca="1" si="356"/>
        <v>-0.42558612677148677</v>
      </c>
      <c r="E780" s="307">
        <f t="shared" ca="1" si="357"/>
        <v>-2.2664940110177136</v>
      </c>
      <c r="F780" s="304">
        <f t="shared" ca="1" si="358"/>
        <v>2.3061046492471933</v>
      </c>
      <c r="G780" s="306">
        <f t="shared" ca="1" si="359"/>
        <v>7.440680527916796</v>
      </c>
      <c r="H780" s="307">
        <f t="shared" ca="1" si="360"/>
        <v>-131.88690160140604</v>
      </c>
      <c r="I780" s="304">
        <f t="shared" ca="1" si="361"/>
        <v>132.09662577347493</v>
      </c>
      <c r="J780" s="306">
        <f t="shared" ca="1" si="362"/>
        <v>515.22511340180665</v>
      </c>
      <c r="K780" s="307">
        <f t="shared" ca="1" si="363"/>
        <v>-3.4220197242108163</v>
      </c>
      <c r="L780" s="304">
        <f t="shared" ca="1" si="348"/>
        <v>515.23647745370033</v>
      </c>
      <c r="M780" s="306">
        <f t="shared" ca="1" si="364"/>
        <v>-1.5144389388828488</v>
      </c>
      <c r="N780" s="304">
        <f t="shared" ca="1" si="365"/>
        <v>-86.770959528258061</v>
      </c>
      <c r="P780" s="310">
        <f t="shared" ca="1" si="366"/>
        <v>23</v>
      </c>
      <c r="Q780" s="304">
        <f t="shared" ca="1" si="367"/>
        <v>0</v>
      </c>
      <c r="R780" s="306">
        <f t="shared" ca="1" si="368"/>
        <v>0</v>
      </c>
      <c r="S780" s="307">
        <f t="shared" ca="1" si="369"/>
        <v>7.4819999999999904</v>
      </c>
      <c r="T780" s="304">
        <f t="shared" ca="1" si="349"/>
        <v>73.398419999999916</v>
      </c>
      <c r="U780" s="311">
        <f t="shared" ca="1" si="350"/>
        <v>0</v>
      </c>
      <c r="V780" s="306">
        <f t="shared" ca="1" si="351"/>
        <v>1.2254192691535815</v>
      </c>
      <c r="W780" s="304">
        <f t="shared" ca="1" si="352"/>
        <v>56.530530012072425</v>
      </c>
      <c r="Y780" s="314" t="str">
        <f t="shared" ca="1" si="370"/>
        <v/>
      </c>
      <c r="Z780" s="315" t="str">
        <f t="shared" ca="1" si="371"/>
        <v/>
      </c>
      <c r="AA780" s="316" t="str">
        <f t="shared" ca="1" si="372"/>
        <v/>
      </c>
      <c r="AC780" s="310" t="e">
        <f t="shared" ca="1" si="373"/>
        <v>#N/A</v>
      </c>
      <c r="AD780" s="323" t="e">
        <f t="shared" ca="1" si="374"/>
        <v>#N/A</v>
      </c>
      <c r="AE780" s="324" t="e">
        <f t="shared" ca="1" si="353"/>
        <v>#N/A</v>
      </c>
      <c r="AG780" s="306">
        <f t="shared" ca="1" si="375"/>
        <v>2.2389231362946624</v>
      </c>
      <c r="AH780" s="304">
        <f t="shared" ca="1" si="376"/>
        <v>-7.555501714453646</v>
      </c>
    </row>
    <row r="781" spans="1:34" x14ac:dyDescent="0.2">
      <c r="A781" s="347">
        <f t="shared" ca="1" si="354"/>
        <v>1E-4</v>
      </c>
      <c r="B781" s="304">
        <f t="shared" ca="1" si="355"/>
        <v>37.704000000000356</v>
      </c>
      <c r="D781" s="306">
        <f t="shared" ca="1" si="356"/>
        <v>-0.42558497517040716</v>
      </c>
      <c r="E781" s="307">
        <f t="shared" ca="1" si="357"/>
        <v>-2.2664583128189886</v>
      </c>
      <c r="F781" s="304">
        <f t="shared" ca="1" si="358"/>
        <v>2.3060693516971886</v>
      </c>
      <c r="G781" s="306">
        <f t="shared" ca="1" si="359"/>
        <v>7.4406379694192788</v>
      </c>
      <c r="H781" s="307">
        <f t="shared" ca="1" si="360"/>
        <v>-131.88712824723731</v>
      </c>
      <c r="I781" s="304">
        <f t="shared" ca="1" si="361"/>
        <v>132.09684966226556</v>
      </c>
      <c r="J781" s="306">
        <f t="shared" ca="1" si="362"/>
        <v>515.22511340180665</v>
      </c>
      <c r="K781" s="307">
        <f t="shared" ca="1" si="363"/>
        <v>-3.4352084257032485</v>
      </c>
      <c r="L781" s="304">
        <f t="shared" ca="1" si="348"/>
        <v>515.23656521721421</v>
      </c>
      <c r="M781" s="306">
        <f t="shared" ca="1" si="364"/>
        <v>-1.5144393571921109</v>
      </c>
      <c r="N781" s="304">
        <f t="shared" ca="1" si="365"/>
        <v>-86.770983495613308</v>
      </c>
      <c r="P781" s="310">
        <f t="shared" ca="1" si="366"/>
        <v>23</v>
      </c>
      <c r="Q781" s="304">
        <f t="shared" ca="1" si="367"/>
        <v>0</v>
      </c>
      <c r="R781" s="306">
        <f t="shared" ca="1" si="368"/>
        <v>0</v>
      </c>
      <c r="S781" s="307">
        <f t="shared" ca="1" si="369"/>
        <v>7.4819999999999904</v>
      </c>
      <c r="T781" s="304">
        <f t="shared" ca="1" si="349"/>
        <v>73.398419999999916</v>
      </c>
      <c r="U781" s="311">
        <f t="shared" ca="1" si="350"/>
        <v>0</v>
      </c>
      <c r="V781" s="306">
        <f t="shared" ca="1" si="351"/>
        <v>1.2254208853235895</v>
      </c>
      <c r="W781" s="304">
        <f t="shared" ca="1" si="352"/>
        <v>56.53079619463427</v>
      </c>
      <c r="Y781" s="314" t="str">
        <f t="shared" ca="1" si="370"/>
        <v/>
      </c>
      <c r="Z781" s="315" t="str">
        <f t="shared" ca="1" si="371"/>
        <v/>
      </c>
      <c r="AA781" s="316" t="str">
        <f t="shared" ca="1" si="372"/>
        <v/>
      </c>
      <c r="AC781" s="310" t="e">
        <f t="shared" ca="1" si="373"/>
        <v>#N/A</v>
      </c>
      <c r="AD781" s="323" t="e">
        <f t="shared" ca="1" si="374"/>
        <v>#N/A</v>
      </c>
      <c r="AE781" s="324" t="e">
        <f t="shared" ca="1" si="353"/>
        <v>#N/A</v>
      </c>
      <c r="AG781" s="306">
        <f t="shared" ca="1" si="375"/>
        <v>2.2388877907894997</v>
      </c>
      <c r="AH781" s="304">
        <f t="shared" ca="1" si="376"/>
        <v>-7.5555372911083261</v>
      </c>
    </row>
    <row r="782" spans="1:34" x14ac:dyDescent="0.2">
      <c r="A782" s="347">
        <f t="shared" ca="1" si="354"/>
        <v>1E-4</v>
      </c>
      <c r="B782" s="304">
        <f t="shared" ca="1" si="355"/>
        <v>37.704100000000359</v>
      </c>
      <c r="D782" s="306">
        <f t="shared" ca="1" si="356"/>
        <v>-0.42558382355346314</v>
      </c>
      <c r="E782" s="307">
        <f t="shared" ca="1" si="357"/>
        <v>-2.2664226148842053</v>
      </c>
      <c r="F782" s="304">
        <f t="shared" ca="1" si="358"/>
        <v>2.3060340544165743</v>
      </c>
      <c r="G782" s="306">
        <f t="shared" ca="1" si="359"/>
        <v>7.4405954110369237</v>
      </c>
      <c r="H782" s="307">
        <f t="shared" ca="1" si="360"/>
        <v>-131.88735488949879</v>
      </c>
      <c r="I782" s="304">
        <f t="shared" ca="1" si="361"/>
        <v>132.09707354752166</v>
      </c>
      <c r="J782" s="306">
        <f t="shared" ca="1" si="362"/>
        <v>515.22511340180665</v>
      </c>
      <c r="K782" s="307">
        <f t="shared" ca="1" si="363"/>
        <v>-3.4483971498600852</v>
      </c>
      <c r="L782" s="304">
        <f t="shared" ca="1" si="348"/>
        <v>515.23665331846075</v>
      </c>
      <c r="M782" s="306">
        <f t="shared" ca="1" si="364"/>
        <v>-1.5144397754975625</v>
      </c>
      <c r="N782" s="304">
        <f t="shared" ca="1" si="365"/>
        <v>-86.771007462750234</v>
      </c>
      <c r="P782" s="310">
        <f t="shared" ca="1" si="366"/>
        <v>23</v>
      </c>
      <c r="Q782" s="304">
        <f t="shared" ca="1" si="367"/>
        <v>0</v>
      </c>
      <c r="R782" s="306">
        <f t="shared" ca="1" si="368"/>
        <v>0</v>
      </c>
      <c r="S782" s="307">
        <f t="shared" ca="1" si="369"/>
        <v>7.4819999999999904</v>
      </c>
      <c r="T782" s="304">
        <f t="shared" ca="1" si="349"/>
        <v>73.398419999999916</v>
      </c>
      <c r="U782" s="311">
        <f t="shared" ca="1" si="350"/>
        <v>0</v>
      </c>
      <c r="V782" s="306">
        <f t="shared" ca="1" si="351"/>
        <v>1.2254225014985061</v>
      </c>
      <c r="W782" s="304">
        <f t="shared" ca="1" si="352"/>
        <v>56.531062375227613</v>
      </c>
      <c r="Y782" s="314" t="str">
        <f t="shared" ca="1" si="370"/>
        <v/>
      </c>
      <c r="Z782" s="315" t="str">
        <f t="shared" ca="1" si="371"/>
        <v/>
      </c>
      <c r="AA782" s="316" t="str">
        <f t="shared" ca="1" si="372"/>
        <v/>
      </c>
      <c r="AC782" s="310" t="e">
        <f t="shared" ca="1" si="373"/>
        <v>#N/A</v>
      </c>
      <c r="AD782" s="323" t="e">
        <f t="shared" ca="1" si="374"/>
        <v>#N/A</v>
      </c>
      <c r="AE782" s="324" t="e">
        <f t="shared" ca="1" si="353"/>
        <v>#N/A</v>
      </c>
      <c r="AG782" s="306">
        <f t="shared" ca="1" si="375"/>
        <v>2.2388524455436078</v>
      </c>
      <c r="AH782" s="304">
        <f t="shared" ca="1" si="376"/>
        <v>-7.5555728674999125</v>
      </c>
    </row>
    <row r="783" spans="1:34" x14ac:dyDescent="0.2">
      <c r="A783" s="347">
        <f t="shared" ca="1" si="354"/>
        <v>1E-4</v>
      </c>
      <c r="B783" s="304">
        <f t="shared" ca="1" si="355"/>
        <v>37.704200000000363</v>
      </c>
      <c r="D783" s="306">
        <f t="shared" ca="1" si="356"/>
        <v>-0.42558267192065352</v>
      </c>
      <c r="E783" s="307">
        <f t="shared" ca="1" si="357"/>
        <v>-2.2663869172133682</v>
      </c>
      <c r="F783" s="304">
        <f t="shared" ca="1" si="358"/>
        <v>2.3059987574053542</v>
      </c>
      <c r="G783" s="306">
        <f t="shared" ca="1" si="359"/>
        <v>7.4405528527697316</v>
      </c>
      <c r="H783" s="307">
        <f t="shared" ca="1" si="360"/>
        <v>-131.88758152819051</v>
      </c>
      <c r="I783" s="304">
        <f t="shared" ca="1" si="361"/>
        <v>132.09729742924327</v>
      </c>
      <c r="J783" s="306">
        <f t="shared" ca="1" si="362"/>
        <v>515.22511340180665</v>
      </c>
      <c r="K783" s="307">
        <f t="shared" ca="1" si="363"/>
        <v>-3.4615858966809698</v>
      </c>
      <c r="L783" s="304">
        <f t="shared" ca="1" si="348"/>
        <v>515.23674175744168</v>
      </c>
      <c r="M783" s="306">
        <f t="shared" ca="1" si="364"/>
        <v>-1.5144401937992036</v>
      </c>
      <c r="N783" s="304">
        <f t="shared" ca="1" si="365"/>
        <v>-86.771031429668838</v>
      </c>
      <c r="P783" s="310">
        <f t="shared" ca="1" si="366"/>
        <v>23</v>
      </c>
      <c r="Q783" s="304">
        <f t="shared" ca="1" si="367"/>
        <v>0</v>
      </c>
      <c r="R783" s="306">
        <f t="shared" ca="1" si="368"/>
        <v>0</v>
      </c>
      <c r="S783" s="307">
        <f t="shared" ca="1" si="369"/>
        <v>7.4819999999999904</v>
      </c>
      <c r="T783" s="304">
        <f t="shared" ca="1" si="349"/>
        <v>73.398419999999916</v>
      </c>
      <c r="U783" s="311">
        <f t="shared" ca="1" si="350"/>
        <v>0</v>
      </c>
      <c r="V783" s="306">
        <f t="shared" ca="1" si="351"/>
        <v>1.2254241176783325</v>
      </c>
      <c r="W783" s="304">
        <f t="shared" ca="1" si="352"/>
        <v>56.531328553852468</v>
      </c>
      <c r="Y783" s="314" t="str">
        <f t="shared" ca="1" si="370"/>
        <v/>
      </c>
      <c r="Z783" s="315" t="str">
        <f t="shared" ca="1" si="371"/>
        <v/>
      </c>
      <c r="AA783" s="316" t="str">
        <f t="shared" ca="1" si="372"/>
        <v/>
      </c>
      <c r="AC783" s="310" t="e">
        <f t="shared" ca="1" si="373"/>
        <v>#N/A</v>
      </c>
      <c r="AD783" s="323" t="e">
        <f t="shared" ca="1" si="374"/>
        <v>#N/A</v>
      </c>
      <c r="AE783" s="324" t="e">
        <f t="shared" ca="1" si="353"/>
        <v>#N/A</v>
      </c>
      <c r="AG783" s="306">
        <f t="shared" ca="1" si="375"/>
        <v>2.2388171005570001</v>
      </c>
      <c r="AH783" s="304">
        <f t="shared" ca="1" si="376"/>
        <v>-7.5556084436283992</v>
      </c>
    </row>
    <row r="784" spans="1:34" x14ac:dyDescent="0.2">
      <c r="A784" s="347">
        <f t="shared" ca="1" si="354"/>
        <v>1E-4</v>
      </c>
      <c r="B784" s="304">
        <f t="shared" ca="1" si="355"/>
        <v>37.704300000000366</v>
      </c>
      <c r="D784" s="306">
        <f t="shared" ca="1" si="356"/>
        <v>-0.42558152027197926</v>
      </c>
      <c r="E784" s="307">
        <f t="shared" ca="1" si="357"/>
        <v>-2.2663512198064746</v>
      </c>
      <c r="F784" s="304">
        <f t="shared" ca="1" si="358"/>
        <v>2.3059634606635258</v>
      </c>
      <c r="G784" s="306">
        <f t="shared" ca="1" si="359"/>
        <v>7.4405102946177042</v>
      </c>
      <c r="H784" s="307">
        <f t="shared" ca="1" si="360"/>
        <v>-131.88780816331249</v>
      </c>
      <c r="I784" s="304">
        <f t="shared" ca="1" si="361"/>
        <v>132.09752130743038</v>
      </c>
      <c r="J784" s="306">
        <f t="shared" ca="1" si="362"/>
        <v>515.22511340180665</v>
      </c>
      <c r="K784" s="307">
        <f t="shared" ca="1" si="363"/>
        <v>-3.474774666165545</v>
      </c>
      <c r="L784" s="304">
        <f t="shared" ca="1" si="348"/>
        <v>515.23683053415846</v>
      </c>
      <c r="M784" s="306">
        <f t="shared" ca="1" si="364"/>
        <v>-1.5144406120970344</v>
      </c>
      <c r="N784" s="304">
        <f t="shared" ca="1" si="365"/>
        <v>-86.771055396369121</v>
      </c>
      <c r="P784" s="310">
        <f t="shared" ca="1" si="366"/>
        <v>23</v>
      </c>
      <c r="Q784" s="304">
        <f t="shared" ca="1" si="367"/>
        <v>0</v>
      </c>
      <c r="R784" s="306">
        <f t="shared" ca="1" si="368"/>
        <v>0</v>
      </c>
      <c r="S784" s="307">
        <f t="shared" ca="1" si="369"/>
        <v>7.4819999999999904</v>
      </c>
      <c r="T784" s="304">
        <f t="shared" ca="1" si="349"/>
        <v>73.398419999999916</v>
      </c>
      <c r="U784" s="311">
        <f t="shared" ca="1" si="350"/>
        <v>0</v>
      </c>
      <c r="V784" s="306">
        <f t="shared" ca="1" si="351"/>
        <v>1.2254257338630676</v>
      </c>
      <c r="W784" s="304">
        <f t="shared" ca="1" si="352"/>
        <v>56.531594730508814</v>
      </c>
      <c r="Y784" s="314" t="str">
        <f t="shared" ca="1" si="370"/>
        <v/>
      </c>
      <c r="Z784" s="315" t="str">
        <f t="shared" ca="1" si="371"/>
        <v/>
      </c>
      <c r="AA784" s="316" t="str">
        <f t="shared" ca="1" si="372"/>
        <v/>
      </c>
      <c r="AC784" s="310" t="e">
        <f t="shared" ca="1" si="373"/>
        <v>#N/A</v>
      </c>
      <c r="AD784" s="323" t="e">
        <f t="shared" ca="1" si="374"/>
        <v>#N/A</v>
      </c>
      <c r="AE784" s="324" t="e">
        <f t="shared" ca="1" si="353"/>
        <v>#N/A</v>
      </c>
      <c r="AG784" s="306">
        <f t="shared" ca="1" si="375"/>
        <v>2.238781755829665</v>
      </c>
      <c r="AH784" s="304">
        <f t="shared" ca="1" si="376"/>
        <v>-7.5556440194937906</v>
      </c>
    </row>
    <row r="785" spans="1:34" x14ac:dyDescent="0.2">
      <c r="A785" s="347">
        <f t="shared" ca="1" si="354"/>
        <v>1E-4</v>
      </c>
      <c r="B785" s="304">
        <f t="shared" ca="1" si="355"/>
        <v>37.704400000000369</v>
      </c>
      <c r="D785" s="306">
        <f t="shared" ca="1" si="356"/>
        <v>-0.42558036860743909</v>
      </c>
      <c r="E785" s="307">
        <f t="shared" ca="1" si="357"/>
        <v>-2.2663155226635281</v>
      </c>
      <c r="F785" s="304">
        <f t="shared" ca="1" si="358"/>
        <v>2.3059281641910929</v>
      </c>
      <c r="G785" s="306">
        <f t="shared" ca="1" si="359"/>
        <v>7.4404677365808434</v>
      </c>
      <c r="H785" s="307">
        <f t="shared" ca="1" si="360"/>
        <v>-131.88803479486475</v>
      </c>
      <c r="I785" s="304">
        <f t="shared" ca="1" si="361"/>
        <v>132.09774518208309</v>
      </c>
      <c r="J785" s="306">
        <f t="shared" ca="1" si="362"/>
        <v>515.22511340180665</v>
      </c>
      <c r="K785" s="307">
        <f t="shared" ca="1" si="363"/>
        <v>-3.487963458313454</v>
      </c>
      <c r="L785" s="304">
        <f t="shared" ca="1" si="348"/>
        <v>515.2369196486128</v>
      </c>
      <c r="M785" s="306">
        <f t="shared" ca="1" si="364"/>
        <v>-1.5144410303910547</v>
      </c>
      <c r="N785" s="304">
        <f t="shared" ca="1" si="365"/>
        <v>-86.771079362851083</v>
      </c>
      <c r="P785" s="310">
        <f t="shared" ca="1" si="366"/>
        <v>23</v>
      </c>
      <c r="Q785" s="304">
        <f t="shared" ca="1" si="367"/>
        <v>0</v>
      </c>
      <c r="R785" s="306">
        <f t="shared" ca="1" si="368"/>
        <v>0</v>
      </c>
      <c r="S785" s="307">
        <f t="shared" ca="1" si="369"/>
        <v>7.4819999999999904</v>
      </c>
      <c r="T785" s="304">
        <f t="shared" ca="1" si="349"/>
        <v>73.398419999999916</v>
      </c>
      <c r="U785" s="311">
        <f t="shared" ca="1" si="350"/>
        <v>0</v>
      </c>
      <c r="V785" s="306">
        <f t="shared" ca="1" si="351"/>
        <v>1.2254273500527118</v>
      </c>
      <c r="W785" s="304">
        <f t="shared" ca="1" si="352"/>
        <v>56.531860905196666</v>
      </c>
      <c r="Y785" s="314" t="str">
        <f t="shared" ca="1" si="370"/>
        <v/>
      </c>
      <c r="Z785" s="315" t="str">
        <f t="shared" ca="1" si="371"/>
        <v/>
      </c>
      <c r="AA785" s="316" t="str">
        <f t="shared" ca="1" si="372"/>
        <v/>
      </c>
      <c r="AC785" s="310" t="e">
        <f t="shared" ca="1" si="373"/>
        <v>#N/A</v>
      </c>
      <c r="AD785" s="323" t="e">
        <f t="shared" ca="1" si="374"/>
        <v>#N/A</v>
      </c>
      <c r="AE785" s="324" t="e">
        <f t="shared" ca="1" si="353"/>
        <v>#N/A</v>
      </c>
      <c r="AG785" s="306">
        <f t="shared" ca="1" si="375"/>
        <v>2.2387464113616122</v>
      </c>
      <c r="AH785" s="304">
        <f t="shared" ca="1" si="376"/>
        <v>-7.5556795950960822</v>
      </c>
    </row>
    <row r="786" spans="1:34" x14ac:dyDescent="0.2">
      <c r="A786" s="347">
        <f t="shared" ca="1" si="354"/>
        <v>1E-4</v>
      </c>
      <c r="B786" s="304">
        <f t="shared" ca="1" si="355"/>
        <v>37.704500000000372</v>
      </c>
      <c r="D786" s="306">
        <f t="shared" ca="1" si="356"/>
        <v>-0.42557921692703571</v>
      </c>
      <c r="E786" s="307">
        <f t="shared" ca="1" si="357"/>
        <v>-2.2662798257845251</v>
      </c>
      <c r="F786" s="304">
        <f t="shared" ca="1" si="358"/>
        <v>2.3058928679880526</v>
      </c>
      <c r="G786" s="306">
        <f t="shared" ca="1" si="359"/>
        <v>7.4404251786591509</v>
      </c>
      <c r="H786" s="307">
        <f t="shared" ca="1" si="360"/>
        <v>-131.88826142284734</v>
      </c>
      <c r="I786" s="304">
        <f t="shared" ca="1" si="361"/>
        <v>132.09796905320138</v>
      </c>
      <c r="J786" s="306">
        <f t="shared" ca="1" si="362"/>
        <v>515.22511340180665</v>
      </c>
      <c r="K786" s="307">
        <f t="shared" ca="1" si="363"/>
        <v>-3.5011522731243394</v>
      </c>
      <c r="L786" s="304">
        <f t="shared" ca="1" si="348"/>
        <v>515.23700910080606</v>
      </c>
      <c r="M786" s="306">
        <f t="shared" ca="1" si="364"/>
        <v>-1.5144414486812645</v>
      </c>
      <c r="N786" s="304">
        <f t="shared" ca="1" si="365"/>
        <v>-86.771103329114709</v>
      </c>
      <c r="P786" s="310">
        <f t="shared" ca="1" si="366"/>
        <v>23</v>
      </c>
      <c r="Q786" s="304">
        <f t="shared" ca="1" si="367"/>
        <v>0</v>
      </c>
      <c r="R786" s="306">
        <f t="shared" ca="1" si="368"/>
        <v>0</v>
      </c>
      <c r="S786" s="307">
        <f t="shared" ca="1" si="369"/>
        <v>7.4819999999999904</v>
      </c>
      <c r="T786" s="304">
        <f t="shared" ca="1" si="349"/>
        <v>73.398419999999916</v>
      </c>
      <c r="U786" s="311">
        <f t="shared" ca="1" si="350"/>
        <v>0</v>
      </c>
      <c r="V786" s="306">
        <f t="shared" ca="1" si="351"/>
        <v>1.2254289662472657</v>
      </c>
      <c r="W786" s="304">
        <f t="shared" ca="1" si="352"/>
        <v>56.532127077916066</v>
      </c>
      <c r="Y786" s="314" t="str">
        <f t="shared" ca="1" si="370"/>
        <v/>
      </c>
      <c r="Z786" s="315" t="str">
        <f t="shared" ca="1" si="371"/>
        <v/>
      </c>
      <c r="AA786" s="316" t="str">
        <f t="shared" ca="1" si="372"/>
        <v/>
      </c>
      <c r="AC786" s="310" t="e">
        <f t="shared" ca="1" si="373"/>
        <v>#N/A</v>
      </c>
      <c r="AD786" s="323" t="e">
        <f t="shared" ca="1" si="374"/>
        <v>#N/A</v>
      </c>
      <c r="AE786" s="324" t="e">
        <f t="shared" ca="1" si="353"/>
        <v>#N/A</v>
      </c>
      <c r="AG786" s="306">
        <f t="shared" ca="1" si="375"/>
        <v>2.2387110671528374</v>
      </c>
      <c r="AH786" s="304">
        <f t="shared" ca="1" si="376"/>
        <v>-7.5557151704352767</v>
      </c>
    </row>
    <row r="787" spans="1:34" x14ac:dyDescent="0.2">
      <c r="A787" s="347">
        <f t="shared" ca="1" si="354"/>
        <v>1E-4</v>
      </c>
      <c r="B787" s="304">
        <f t="shared" ca="1" si="355"/>
        <v>37.704600000000376</v>
      </c>
      <c r="D787" s="306">
        <f t="shared" ca="1" si="356"/>
        <v>-0.42557806523077002</v>
      </c>
      <c r="E787" s="307">
        <f t="shared" ca="1" si="357"/>
        <v>-2.2662441291694639</v>
      </c>
      <c r="F787" s="304">
        <f t="shared" ca="1" si="358"/>
        <v>2.3058575720544034</v>
      </c>
      <c r="G787" s="306">
        <f t="shared" ca="1" si="359"/>
        <v>7.4403826208526276</v>
      </c>
      <c r="H787" s="307">
        <f t="shared" ca="1" si="360"/>
        <v>-131.88848804726024</v>
      </c>
      <c r="I787" s="304">
        <f t="shared" ca="1" si="361"/>
        <v>132.09819292078524</v>
      </c>
      <c r="J787" s="306">
        <f t="shared" ca="1" si="362"/>
        <v>515.22511340180665</v>
      </c>
      <c r="K787" s="307">
        <f t="shared" ca="1" si="363"/>
        <v>-3.5143411105978446</v>
      </c>
      <c r="L787" s="304">
        <f t="shared" ca="1" si="348"/>
        <v>515.23709889073996</v>
      </c>
      <c r="M787" s="306">
        <f t="shared" ca="1" si="364"/>
        <v>-1.5144418669676643</v>
      </c>
      <c r="N787" s="304">
        <f t="shared" ca="1" si="365"/>
        <v>-86.771127295160042</v>
      </c>
      <c r="P787" s="310">
        <f t="shared" ca="1" si="366"/>
        <v>23</v>
      </c>
      <c r="Q787" s="304">
        <f t="shared" ca="1" si="367"/>
        <v>0</v>
      </c>
      <c r="R787" s="306">
        <f t="shared" ca="1" si="368"/>
        <v>0</v>
      </c>
      <c r="S787" s="307">
        <f t="shared" ca="1" si="369"/>
        <v>7.4819999999999904</v>
      </c>
      <c r="T787" s="304">
        <f t="shared" ca="1" si="349"/>
        <v>73.398419999999916</v>
      </c>
      <c r="U787" s="311">
        <f t="shared" ca="1" si="350"/>
        <v>0</v>
      </c>
      <c r="V787" s="306">
        <f t="shared" ca="1" si="351"/>
        <v>1.2254305824467278</v>
      </c>
      <c r="W787" s="304">
        <f t="shared" ca="1" si="352"/>
        <v>56.532393248666885</v>
      </c>
      <c r="Y787" s="314" t="str">
        <f t="shared" ca="1" si="370"/>
        <v/>
      </c>
      <c r="Z787" s="315" t="str">
        <f t="shared" ca="1" si="371"/>
        <v/>
      </c>
      <c r="AA787" s="316" t="str">
        <f t="shared" ca="1" si="372"/>
        <v/>
      </c>
      <c r="AC787" s="310" t="e">
        <f t="shared" ca="1" si="373"/>
        <v>#N/A</v>
      </c>
      <c r="AD787" s="323" t="e">
        <f t="shared" ca="1" si="374"/>
        <v>#N/A</v>
      </c>
      <c r="AE787" s="324" t="e">
        <f t="shared" ca="1" si="353"/>
        <v>#N/A</v>
      </c>
      <c r="AG787" s="306">
        <f t="shared" ca="1" si="375"/>
        <v>2.2386757232033361</v>
      </c>
      <c r="AH787" s="304">
        <f t="shared" ca="1" si="376"/>
        <v>-7.5557507455113786</v>
      </c>
    </row>
    <row r="788" spans="1:34" x14ac:dyDescent="0.2">
      <c r="A788" s="347">
        <f t="shared" ca="1" si="354"/>
        <v>1E-4</v>
      </c>
      <c r="B788" s="304">
        <f t="shared" ca="1" si="355"/>
        <v>37.704700000000379</v>
      </c>
      <c r="D788" s="306">
        <f t="shared" ca="1" si="356"/>
        <v>-0.42557691351863858</v>
      </c>
      <c r="E788" s="307">
        <f t="shared" ca="1" si="357"/>
        <v>-2.2662084328183569</v>
      </c>
      <c r="F788" s="304">
        <f t="shared" ca="1" si="358"/>
        <v>2.3058222763901566</v>
      </c>
      <c r="G788" s="306">
        <f t="shared" ca="1" si="359"/>
        <v>7.4403400631612753</v>
      </c>
      <c r="H788" s="307">
        <f t="shared" ca="1" si="360"/>
        <v>-131.88871466810352</v>
      </c>
      <c r="I788" s="304">
        <f t="shared" ca="1" si="361"/>
        <v>132.09841678483474</v>
      </c>
      <c r="J788" s="306">
        <f t="shared" ca="1" si="362"/>
        <v>515.22511340180665</v>
      </c>
      <c r="K788" s="307">
        <f t="shared" ca="1" si="363"/>
        <v>-3.527529970733613</v>
      </c>
      <c r="L788" s="304">
        <f t="shared" ca="1" si="348"/>
        <v>515.23718901841607</v>
      </c>
      <c r="M788" s="306">
        <f t="shared" ca="1" si="364"/>
        <v>-1.5144422852502537</v>
      </c>
      <c r="N788" s="304">
        <f t="shared" ca="1" si="365"/>
        <v>-86.771151260987068</v>
      </c>
      <c r="P788" s="310">
        <f t="shared" ca="1" si="366"/>
        <v>23</v>
      </c>
      <c r="Q788" s="304">
        <f t="shared" ca="1" si="367"/>
        <v>0</v>
      </c>
      <c r="R788" s="306">
        <f t="shared" ca="1" si="368"/>
        <v>0</v>
      </c>
      <c r="S788" s="307">
        <f t="shared" ca="1" si="369"/>
        <v>7.4819999999999904</v>
      </c>
      <c r="T788" s="304">
        <f t="shared" ca="1" si="349"/>
        <v>73.398419999999916</v>
      </c>
      <c r="U788" s="311">
        <f t="shared" ca="1" si="350"/>
        <v>0</v>
      </c>
      <c r="V788" s="306">
        <f t="shared" ca="1" si="351"/>
        <v>1.2254321986510994</v>
      </c>
      <c r="W788" s="304">
        <f t="shared" ca="1" si="352"/>
        <v>56.532659417449217</v>
      </c>
      <c r="Y788" s="314" t="str">
        <f t="shared" ca="1" si="370"/>
        <v/>
      </c>
      <c r="Z788" s="315" t="str">
        <f t="shared" ca="1" si="371"/>
        <v/>
      </c>
      <c r="AA788" s="316" t="str">
        <f t="shared" ca="1" si="372"/>
        <v/>
      </c>
      <c r="AC788" s="310" t="e">
        <f t="shared" ca="1" si="373"/>
        <v>#N/A</v>
      </c>
      <c r="AD788" s="323" t="e">
        <f t="shared" ca="1" si="374"/>
        <v>#N/A</v>
      </c>
      <c r="AE788" s="324" t="e">
        <f t="shared" ca="1" si="353"/>
        <v>#N/A</v>
      </c>
      <c r="AG788" s="306">
        <f t="shared" ca="1" si="375"/>
        <v>2.2386403795131216</v>
      </c>
      <c r="AH788" s="304">
        <f t="shared" ca="1" si="376"/>
        <v>-7.5557863203243727</v>
      </c>
    </row>
    <row r="789" spans="1:34" x14ac:dyDescent="0.2">
      <c r="A789" s="347">
        <f t="shared" ca="1" si="354"/>
        <v>1E-4</v>
      </c>
      <c r="B789" s="304">
        <f t="shared" ca="1" si="355"/>
        <v>37.704800000000382</v>
      </c>
      <c r="D789" s="306">
        <f t="shared" ca="1" si="356"/>
        <v>-0.42557576179064444</v>
      </c>
      <c r="E789" s="307">
        <f t="shared" ca="1" si="357"/>
        <v>-2.2661727367311943</v>
      </c>
      <c r="F789" s="304">
        <f t="shared" ca="1" si="358"/>
        <v>2.305786980995304</v>
      </c>
      <c r="G789" s="306">
        <f t="shared" ca="1" si="359"/>
        <v>7.4402975055850966</v>
      </c>
      <c r="H789" s="307">
        <f t="shared" ca="1" si="360"/>
        <v>-131.8889412853772</v>
      </c>
      <c r="I789" s="304">
        <f t="shared" ca="1" si="361"/>
        <v>132.09864064534989</v>
      </c>
      <c r="J789" s="306">
        <f t="shared" ca="1" si="362"/>
        <v>515.22511340180665</v>
      </c>
      <c r="K789" s="307">
        <f t="shared" ca="1" si="363"/>
        <v>-3.540718853531287</v>
      </c>
      <c r="L789" s="304">
        <f t="shared" ca="1" si="348"/>
        <v>515.23727948383578</v>
      </c>
      <c r="M789" s="306">
        <f t="shared" ca="1" si="364"/>
        <v>-1.5144427035290329</v>
      </c>
      <c r="N789" s="304">
        <f t="shared" ca="1" si="365"/>
        <v>-86.771175226595773</v>
      </c>
      <c r="P789" s="310">
        <f t="shared" ca="1" si="366"/>
        <v>23</v>
      </c>
      <c r="Q789" s="304">
        <f t="shared" ca="1" si="367"/>
        <v>0</v>
      </c>
      <c r="R789" s="306">
        <f t="shared" ca="1" si="368"/>
        <v>0</v>
      </c>
      <c r="S789" s="307">
        <f t="shared" ca="1" si="369"/>
        <v>7.4819999999999904</v>
      </c>
      <c r="T789" s="304">
        <f t="shared" ca="1" si="349"/>
        <v>73.398419999999916</v>
      </c>
      <c r="U789" s="311">
        <f t="shared" ca="1" si="350"/>
        <v>0</v>
      </c>
      <c r="V789" s="306">
        <f t="shared" ca="1" si="351"/>
        <v>1.2254338148603805</v>
      </c>
      <c r="W789" s="304">
        <f t="shared" ca="1" si="352"/>
        <v>56.532925584263069</v>
      </c>
      <c r="Y789" s="314" t="str">
        <f t="shared" ca="1" si="370"/>
        <v/>
      </c>
      <c r="Z789" s="315" t="str">
        <f t="shared" ca="1" si="371"/>
        <v/>
      </c>
      <c r="AA789" s="316" t="str">
        <f t="shared" ca="1" si="372"/>
        <v/>
      </c>
      <c r="AC789" s="310" t="e">
        <f t="shared" ca="1" si="373"/>
        <v>#N/A</v>
      </c>
      <c r="AD789" s="323" t="e">
        <f t="shared" ca="1" si="374"/>
        <v>#N/A</v>
      </c>
      <c r="AE789" s="324" t="e">
        <f t="shared" ca="1" si="353"/>
        <v>#N/A</v>
      </c>
      <c r="AG789" s="306">
        <f t="shared" ca="1" si="375"/>
        <v>2.2386050360821859</v>
      </c>
      <c r="AH789" s="304">
        <f t="shared" ca="1" si="376"/>
        <v>-7.5558218948742706</v>
      </c>
    </row>
    <row r="790" spans="1:34" x14ac:dyDescent="0.2">
      <c r="A790" s="347">
        <f t="shared" ca="1" si="354"/>
        <v>1E-4</v>
      </c>
      <c r="B790" s="304">
        <f t="shared" ca="1" si="355"/>
        <v>37.704900000000386</v>
      </c>
      <c r="D790" s="306">
        <f t="shared" ca="1" si="356"/>
        <v>-0.42557461004678837</v>
      </c>
      <c r="E790" s="307">
        <f t="shared" ca="1" si="357"/>
        <v>-2.2661370409079753</v>
      </c>
      <c r="F790" s="304">
        <f t="shared" ca="1" si="358"/>
        <v>2.3057516858698448</v>
      </c>
      <c r="G790" s="306">
        <f t="shared" ca="1" si="359"/>
        <v>7.4402549481240916</v>
      </c>
      <c r="H790" s="307">
        <f t="shared" ca="1" si="360"/>
        <v>-131.88916789908129</v>
      </c>
      <c r="I790" s="304">
        <f t="shared" ca="1" si="361"/>
        <v>132.09886450233074</v>
      </c>
      <c r="J790" s="306">
        <f t="shared" ca="1" si="362"/>
        <v>515.22511340180665</v>
      </c>
      <c r="K790" s="307">
        <f t="shared" ca="1" si="363"/>
        <v>-3.5539077589905101</v>
      </c>
      <c r="L790" s="304">
        <f t="shared" ca="1" si="348"/>
        <v>515.23737028700077</v>
      </c>
      <c r="M790" s="306">
        <f t="shared" ca="1" si="364"/>
        <v>-1.514443121804002</v>
      </c>
      <c r="N790" s="304">
        <f t="shared" ca="1" si="365"/>
        <v>-86.77119919198617</v>
      </c>
      <c r="P790" s="310">
        <f t="shared" ca="1" si="366"/>
        <v>23</v>
      </c>
      <c r="Q790" s="304">
        <f t="shared" ca="1" si="367"/>
        <v>0</v>
      </c>
      <c r="R790" s="306">
        <f t="shared" ca="1" si="368"/>
        <v>0</v>
      </c>
      <c r="S790" s="307">
        <f t="shared" ca="1" si="369"/>
        <v>7.4819999999999904</v>
      </c>
      <c r="T790" s="304">
        <f t="shared" ca="1" si="349"/>
        <v>73.398419999999916</v>
      </c>
      <c r="U790" s="311">
        <f t="shared" ca="1" si="350"/>
        <v>0</v>
      </c>
      <c r="V790" s="306">
        <f t="shared" ca="1" si="351"/>
        <v>1.2254354310745701</v>
      </c>
      <c r="W790" s="304">
        <f t="shared" ca="1" si="352"/>
        <v>56.53319174910839</v>
      </c>
      <c r="Y790" s="314" t="str">
        <f t="shared" ca="1" si="370"/>
        <v/>
      </c>
      <c r="Z790" s="315" t="str">
        <f t="shared" ca="1" si="371"/>
        <v/>
      </c>
      <c r="AA790" s="316" t="str">
        <f t="shared" ca="1" si="372"/>
        <v/>
      </c>
      <c r="AC790" s="310" t="e">
        <f t="shared" ca="1" si="373"/>
        <v>#N/A</v>
      </c>
      <c r="AD790" s="323" t="e">
        <f t="shared" ca="1" si="374"/>
        <v>#N/A</v>
      </c>
      <c r="AE790" s="324" t="e">
        <f t="shared" ca="1" si="353"/>
        <v>#N/A</v>
      </c>
      <c r="AG790" s="306">
        <f t="shared" ca="1" si="375"/>
        <v>2.2385696929105272</v>
      </c>
      <c r="AH790" s="304">
        <f t="shared" ca="1" si="376"/>
        <v>-7.5558574691610723</v>
      </c>
    </row>
    <row r="791" spans="1:34" x14ac:dyDescent="0.2">
      <c r="A791" s="347">
        <f t="shared" ca="1" si="354"/>
        <v>1E-4</v>
      </c>
      <c r="B791" s="304">
        <f t="shared" ca="1" si="355"/>
        <v>37.705000000000389</v>
      </c>
      <c r="D791" s="306">
        <f t="shared" ca="1" si="356"/>
        <v>-0.42557345828706905</v>
      </c>
      <c r="E791" s="307">
        <f t="shared" ca="1" si="357"/>
        <v>-2.266101345348706</v>
      </c>
      <c r="F791" s="304">
        <f t="shared" ca="1" si="358"/>
        <v>2.3057163910137843</v>
      </c>
      <c r="G791" s="306">
        <f t="shared" ca="1" si="359"/>
        <v>7.4402123907782629</v>
      </c>
      <c r="H791" s="307">
        <f t="shared" ca="1" si="360"/>
        <v>-131.88939450921583</v>
      </c>
      <c r="I791" s="304">
        <f t="shared" ca="1" si="361"/>
        <v>132.09908835577733</v>
      </c>
      <c r="J791" s="306">
        <f t="shared" ca="1" si="362"/>
        <v>515.22511340180665</v>
      </c>
      <c r="K791" s="307">
        <f t="shared" ca="1" si="363"/>
        <v>-3.5670966871109249</v>
      </c>
      <c r="L791" s="304">
        <f t="shared" ca="1" si="348"/>
        <v>515.23746142791265</v>
      </c>
      <c r="M791" s="306">
        <f t="shared" ca="1" si="364"/>
        <v>-1.514443540075161</v>
      </c>
      <c r="N791" s="304">
        <f t="shared" ca="1" si="365"/>
        <v>-86.771223157158275</v>
      </c>
      <c r="P791" s="310">
        <f t="shared" ca="1" si="366"/>
        <v>23</v>
      </c>
      <c r="Q791" s="304">
        <f t="shared" ca="1" si="367"/>
        <v>0</v>
      </c>
      <c r="R791" s="306">
        <f t="shared" ca="1" si="368"/>
        <v>0</v>
      </c>
      <c r="S791" s="307">
        <f t="shared" ca="1" si="369"/>
        <v>7.4819999999999904</v>
      </c>
      <c r="T791" s="304">
        <f t="shared" ca="1" si="349"/>
        <v>73.398419999999916</v>
      </c>
      <c r="U791" s="311">
        <f t="shared" ca="1" si="350"/>
        <v>0</v>
      </c>
      <c r="V791" s="306">
        <f t="shared" ca="1" si="351"/>
        <v>1.2254370472936689</v>
      </c>
      <c r="W791" s="304">
        <f t="shared" ca="1" si="352"/>
        <v>56.533457911985231</v>
      </c>
      <c r="Y791" s="314" t="str">
        <f t="shared" ca="1" si="370"/>
        <v/>
      </c>
      <c r="Z791" s="315" t="str">
        <f t="shared" ca="1" si="371"/>
        <v/>
      </c>
      <c r="AA791" s="316" t="str">
        <f t="shared" ca="1" si="372"/>
        <v/>
      </c>
      <c r="AC791" s="310" t="e">
        <f t="shared" ca="1" si="373"/>
        <v>#N/A</v>
      </c>
      <c r="AD791" s="323" t="e">
        <f t="shared" ca="1" si="374"/>
        <v>#N/A</v>
      </c>
      <c r="AE791" s="324" t="e">
        <f t="shared" ca="1" si="353"/>
        <v>#N/A</v>
      </c>
      <c r="AG791" s="306">
        <f t="shared" ca="1" si="375"/>
        <v>2.2385343499981518</v>
      </c>
      <c r="AH791" s="304">
        <f t="shared" ca="1" si="376"/>
        <v>-7.5558930431847715</v>
      </c>
    </row>
    <row r="792" spans="1:34" x14ac:dyDescent="0.2">
      <c r="A792" s="347">
        <f t="shared" ca="1" si="354"/>
        <v>1E-4</v>
      </c>
      <c r="B792" s="304">
        <f t="shared" ca="1" si="355"/>
        <v>37.705100000000392</v>
      </c>
      <c r="D792" s="306">
        <f t="shared" ca="1" si="356"/>
        <v>-0.4255723065114877</v>
      </c>
      <c r="E792" s="307">
        <f t="shared" ca="1" si="357"/>
        <v>-2.2660656500533785</v>
      </c>
      <c r="F792" s="304">
        <f t="shared" ca="1" si="358"/>
        <v>2.3056810964271164</v>
      </c>
      <c r="G792" s="306">
        <f t="shared" ca="1" si="359"/>
        <v>7.4401698335476114</v>
      </c>
      <c r="H792" s="307">
        <f t="shared" ca="1" si="360"/>
        <v>-131.88962111578084</v>
      </c>
      <c r="I792" s="304">
        <f t="shared" ca="1" si="361"/>
        <v>132.09931220568961</v>
      </c>
      <c r="J792" s="306">
        <f t="shared" ca="1" si="362"/>
        <v>515.22511340180665</v>
      </c>
      <c r="K792" s="307">
        <f t="shared" ca="1" si="363"/>
        <v>-3.5802856378921746</v>
      </c>
      <c r="L792" s="304">
        <f t="shared" ca="1" si="348"/>
        <v>515.23755290657277</v>
      </c>
      <c r="M792" s="306">
        <f t="shared" ca="1" si="364"/>
        <v>-1.51444395834251</v>
      </c>
      <c r="N792" s="304">
        <f t="shared" ca="1" si="365"/>
        <v>-86.771247122112086</v>
      </c>
      <c r="P792" s="310">
        <f t="shared" ca="1" si="366"/>
        <v>23</v>
      </c>
      <c r="Q792" s="304">
        <f t="shared" ca="1" si="367"/>
        <v>0</v>
      </c>
      <c r="R792" s="306">
        <f t="shared" ca="1" si="368"/>
        <v>0</v>
      </c>
      <c r="S792" s="307">
        <f t="shared" ca="1" si="369"/>
        <v>7.4819999999999904</v>
      </c>
      <c r="T792" s="304">
        <f t="shared" ca="1" si="349"/>
        <v>73.398419999999916</v>
      </c>
      <c r="U792" s="311">
        <f t="shared" ca="1" si="350"/>
        <v>0</v>
      </c>
      <c r="V792" s="306">
        <f t="shared" ca="1" si="351"/>
        <v>1.2254386635176764</v>
      </c>
      <c r="W792" s="304">
        <f t="shared" ca="1" si="352"/>
        <v>56.53372407289352</v>
      </c>
      <c r="Y792" s="314" t="str">
        <f t="shared" ca="1" si="370"/>
        <v/>
      </c>
      <c r="Z792" s="315" t="str">
        <f t="shared" ca="1" si="371"/>
        <v/>
      </c>
      <c r="AA792" s="316" t="str">
        <f t="shared" ca="1" si="372"/>
        <v/>
      </c>
      <c r="AC792" s="310" t="e">
        <f t="shared" ca="1" si="373"/>
        <v>#N/A</v>
      </c>
      <c r="AD792" s="323" t="e">
        <f t="shared" ca="1" si="374"/>
        <v>#N/A</v>
      </c>
      <c r="AE792" s="324" t="e">
        <f t="shared" ca="1" si="353"/>
        <v>#N/A</v>
      </c>
      <c r="AG792" s="306">
        <f t="shared" ca="1" si="375"/>
        <v>2.2384990073450535</v>
      </c>
      <c r="AH792" s="304">
        <f t="shared" ca="1" si="376"/>
        <v>-7.5559286169453763</v>
      </c>
    </row>
    <row r="793" spans="1:34" x14ac:dyDescent="0.2">
      <c r="A793" s="347">
        <f t="shared" ca="1" si="354"/>
        <v>1E-4</v>
      </c>
      <c r="B793" s="304">
        <f t="shared" ca="1" si="355"/>
        <v>37.705200000000396</v>
      </c>
      <c r="D793" s="306">
        <f t="shared" ca="1" si="356"/>
        <v>-0.42557115472004436</v>
      </c>
      <c r="E793" s="307">
        <f t="shared" ca="1" si="357"/>
        <v>-2.2660299550220051</v>
      </c>
      <c r="F793" s="304">
        <f t="shared" ca="1" si="358"/>
        <v>2.3056458021098516</v>
      </c>
      <c r="G793" s="306">
        <f t="shared" ca="1" si="359"/>
        <v>7.4401272764321398</v>
      </c>
      <c r="H793" s="307">
        <f t="shared" ca="1" si="360"/>
        <v>-131.88984771877634</v>
      </c>
      <c r="I793" s="304">
        <f t="shared" ca="1" si="361"/>
        <v>132.09953605206766</v>
      </c>
      <c r="J793" s="306">
        <f t="shared" ca="1" si="362"/>
        <v>515.22511340180665</v>
      </c>
      <c r="K793" s="307">
        <f t="shared" ca="1" si="363"/>
        <v>-3.5934746113339022</v>
      </c>
      <c r="L793" s="304">
        <f t="shared" ca="1" si="348"/>
        <v>515.23764472298296</v>
      </c>
      <c r="M793" s="306">
        <f t="shared" ca="1" si="364"/>
        <v>-1.5144443766060489</v>
      </c>
      <c r="N793" s="304">
        <f t="shared" ca="1" si="365"/>
        <v>-86.771271086847591</v>
      </c>
      <c r="P793" s="310">
        <f t="shared" ca="1" si="366"/>
        <v>23</v>
      </c>
      <c r="Q793" s="304">
        <f t="shared" ca="1" si="367"/>
        <v>0</v>
      </c>
      <c r="R793" s="306">
        <f t="shared" ca="1" si="368"/>
        <v>0</v>
      </c>
      <c r="S793" s="307">
        <f t="shared" ca="1" si="369"/>
        <v>7.4819999999999904</v>
      </c>
      <c r="T793" s="304">
        <f t="shared" ca="1" si="349"/>
        <v>73.398419999999916</v>
      </c>
      <c r="U793" s="311">
        <f t="shared" ca="1" si="350"/>
        <v>0</v>
      </c>
      <c r="V793" s="306">
        <f t="shared" ca="1" si="351"/>
        <v>1.2254402797465931</v>
      </c>
      <c r="W793" s="304">
        <f t="shared" ca="1" si="352"/>
        <v>56.5339902318333</v>
      </c>
      <c r="Y793" s="314" t="str">
        <f t="shared" ca="1" si="370"/>
        <v/>
      </c>
      <c r="Z793" s="315" t="str">
        <f t="shared" ca="1" si="371"/>
        <v/>
      </c>
      <c r="AA793" s="316" t="str">
        <f t="shared" ca="1" si="372"/>
        <v/>
      </c>
      <c r="AC793" s="310" t="e">
        <f t="shared" ca="1" si="373"/>
        <v>#N/A</v>
      </c>
      <c r="AD793" s="323" t="e">
        <f t="shared" ca="1" si="374"/>
        <v>#N/A</v>
      </c>
      <c r="AE793" s="324" t="e">
        <f t="shared" ca="1" si="353"/>
        <v>#N/A</v>
      </c>
      <c r="AG793" s="306">
        <f t="shared" ca="1" si="375"/>
        <v>2.2384636649512419</v>
      </c>
      <c r="AH793" s="304">
        <f t="shared" ca="1" si="376"/>
        <v>-7.5559641904428752</v>
      </c>
    </row>
    <row r="794" spans="1:34" x14ac:dyDescent="0.2">
      <c r="A794" s="347">
        <f t="shared" ca="1" si="354"/>
        <v>1E-4</v>
      </c>
      <c r="B794" s="304">
        <f t="shared" ca="1" si="355"/>
        <v>37.705300000000399</v>
      </c>
      <c r="D794" s="306">
        <f t="shared" ca="1" si="356"/>
        <v>-0.42557000291274022</v>
      </c>
      <c r="E794" s="307">
        <f t="shared" ca="1" si="357"/>
        <v>-2.2659942602545771</v>
      </c>
      <c r="F794" s="304">
        <f t="shared" ca="1" si="358"/>
        <v>2.3056105080619833</v>
      </c>
      <c r="G794" s="306">
        <f t="shared" ca="1" si="359"/>
        <v>7.4400847194318489</v>
      </c>
      <c r="H794" s="307">
        <f t="shared" ca="1" si="360"/>
        <v>-131.89007431820235</v>
      </c>
      <c r="I794" s="304">
        <f t="shared" ca="1" si="361"/>
        <v>132.09975989491147</v>
      </c>
      <c r="J794" s="306">
        <f t="shared" ca="1" si="362"/>
        <v>515.22511340180665</v>
      </c>
      <c r="K794" s="307">
        <f t="shared" ca="1" si="363"/>
        <v>-3.6066636074357512</v>
      </c>
      <c r="L794" s="304">
        <f t="shared" ca="1" si="348"/>
        <v>515.2377368771447</v>
      </c>
      <c r="M794" s="306">
        <f t="shared" ca="1" si="364"/>
        <v>-1.514444794865778</v>
      </c>
      <c r="N794" s="304">
        <f t="shared" ca="1" si="365"/>
        <v>-86.771295051364802</v>
      </c>
      <c r="P794" s="310">
        <f t="shared" ca="1" si="366"/>
        <v>23</v>
      </c>
      <c r="Q794" s="304">
        <f t="shared" ca="1" si="367"/>
        <v>0</v>
      </c>
      <c r="R794" s="306">
        <f t="shared" ca="1" si="368"/>
        <v>0</v>
      </c>
      <c r="S794" s="307">
        <f t="shared" ca="1" si="369"/>
        <v>7.4819999999999904</v>
      </c>
      <c r="T794" s="304">
        <f t="shared" ca="1" si="349"/>
        <v>73.398419999999916</v>
      </c>
      <c r="U794" s="311">
        <f t="shared" ca="1" si="350"/>
        <v>0</v>
      </c>
      <c r="V794" s="306">
        <f t="shared" ca="1" si="351"/>
        <v>1.2254418959804185</v>
      </c>
      <c r="W794" s="304">
        <f t="shared" ca="1" si="352"/>
        <v>56.534256388804515</v>
      </c>
      <c r="Y794" s="314" t="str">
        <f t="shared" ca="1" si="370"/>
        <v/>
      </c>
      <c r="Z794" s="315" t="str">
        <f t="shared" ca="1" si="371"/>
        <v/>
      </c>
      <c r="AA794" s="316" t="str">
        <f t="shared" ca="1" si="372"/>
        <v/>
      </c>
      <c r="AC794" s="310" t="e">
        <f t="shared" ca="1" si="373"/>
        <v>#N/A</v>
      </c>
      <c r="AD794" s="323" t="e">
        <f t="shared" ca="1" si="374"/>
        <v>#N/A</v>
      </c>
      <c r="AE794" s="324" t="e">
        <f t="shared" ca="1" si="353"/>
        <v>#N/A</v>
      </c>
      <c r="AG794" s="306">
        <f t="shared" ca="1" si="375"/>
        <v>2.2384283228167101</v>
      </c>
      <c r="AH794" s="304">
        <f t="shared" ca="1" si="376"/>
        <v>-7.5559997636772751</v>
      </c>
    </row>
    <row r="795" spans="1:34" x14ac:dyDescent="0.2">
      <c r="A795" s="347">
        <f t="shared" ca="1" si="354"/>
        <v>1E-4</v>
      </c>
      <c r="B795" s="304">
        <f t="shared" ca="1" si="355"/>
        <v>37.705400000000402</v>
      </c>
      <c r="D795" s="306">
        <f t="shared" ca="1" si="356"/>
        <v>-0.42556885108957382</v>
      </c>
      <c r="E795" s="307">
        <f t="shared" ca="1" si="357"/>
        <v>-2.265958565751105</v>
      </c>
      <c r="F795" s="304">
        <f t="shared" ca="1" si="358"/>
        <v>2.3055752142835213</v>
      </c>
      <c r="G795" s="306">
        <f t="shared" ca="1" si="359"/>
        <v>7.4400421625467397</v>
      </c>
      <c r="H795" s="307">
        <f t="shared" ca="1" si="360"/>
        <v>-131.89030091405894</v>
      </c>
      <c r="I795" s="304">
        <f t="shared" ca="1" si="361"/>
        <v>132.09998373422115</v>
      </c>
      <c r="J795" s="306">
        <f t="shared" ca="1" si="362"/>
        <v>515.22511340180665</v>
      </c>
      <c r="K795" s="307">
        <f t="shared" ca="1" si="363"/>
        <v>-3.6198526261973645</v>
      </c>
      <c r="L795" s="304">
        <f t="shared" ca="1" si="348"/>
        <v>515.23782936905934</v>
      </c>
      <c r="M795" s="306">
        <f t="shared" ca="1" si="364"/>
        <v>-1.5144452131216972</v>
      </c>
      <c r="N795" s="304">
        <f t="shared" ca="1" si="365"/>
        <v>-86.771319015663735</v>
      </c>
      <c r="P795" s="310">
        <f t="shared" ca="1" si="366"/>
        <v>23</v>
      </c>
      <c r="Q795" s="304">
        <f t="shared" ca="1" si="367"/>
        <v>0</v>
      </c>
      <c r="R795" s="306">
        <f t="shared" ca="1" si="368"/>
        <v>0</v>
      </c>
      <c r="S795" s="307">
        <f t="shared" ca="1" si="369"/>
        <v>7.4819999999999904</v>
      </c>
      <c r="T795" s="304">
        <f t="shared" ca="1" si="349"/>
        <v>73.398419999999916</v>
      </c>
      <c r="U795" s="311">
        <f t="shared" ca="1" si="350"/>
        <v>0</v>
      </c>
      <c r="V795" s="306">
        <f t="shared" ca="1" si="351"/>
        <v>1.2254435122191529</v>
      </c>
      <c r="W795" s="304">
        <f t="shared" ca="1" si="352"/>
        <v>56.53452254380727</v>
      </c>
      <c r="Y795" s="314" t="str">
        <f t="shared" ca="1" si="370"/>
        <v/>
      </c>
      <c r="Z795" s="315" t="str">
        <f t="shared" ca="1" si="371"/>
        <v/>
      </c>
      <c r="AA795" s="316" t="str">
        <f t="shared" ca="1" si="372"/>
        <v/>
      </c>
      <c r="AC795" s="310" t="e">
        <f t="shared" ca="1" si="373"/>
        <v>#N/A</v>
      </c>
      <c r="AD795" s="323" t="e">
        <f t="shared" ca="1" si="374"/>
        <v>#N/A</v>
      </c>
      <c r="AE795" s="324" t="e">
        <f t="shared" ca="1" si="353"/>
        <v>#N/A</v>
      </c>
      <c r="AG795" s="306">
        <f t="shared" ca="1" si="375"/>
        <v>2.2383929809414642</v>
      </c>
      <c r="AH795" s="304">
        <f t="shared" ca="1" si="376"/>
        <v>-7.5560353366485682</v>
      </c>
    </row>
    <row r="796" spans="1:34" x14ac:dyDescent="0.2">
      <c r="A796" s="347">
        <f t="shared" ca="1" si="354"/>
        <v>1E-4</v>
      </c>
      <c r="B796" s="304">
        <f t="shared" ca="1" si="355"/>
        <v>37.705500000000406</v>
      </c>
      <c r="D796" s="306">
        <f t="shared" ca="1" si="356"/>
        <v>-0.42556769925054677</v>
      </c>
      <c r="E796" s="307">
        <f t="shared" ca="1" si="357"/>
        <v>-2.2659228715115711</v>
      </c>
      <c r="F796" s="304">
        <f t="shared" ca="1" si="358"/>
        <v>2.3055399207744482</v>
      </c>
      <c r="G796" s="306">
        <f t="shared" ca="1" si="359"/>
        <v>7.4399996057768147</v>
      </c>
      <c r="H796" s="307">
        <f t="shared" ca="1" si="360"/>
        <v>-131.8905275063461</v>
      </c>
      <c r="I796" s="304">
        <f t="shared" ca="1" si="361"/>
        <v>132.10020756999663</v>
      </c>
      <c r="J796" s="306">
        <f t="shared" ca="1" si="362"/>
        <v>515.22511340180665</v>
      </c>
      <c r="K796" s="307">
        <f t="shared" ca="1" si="363"/>
        <v>-3.6330416676183845</v>
      </c>
      <c r="L796" s="304">
        <f t="shared" ca="1" si="348"/>
        <v>515.23792219872871</v>
      </c>
      <c r="M796" s="306">
        <f t="shared" ca="1" si="364"/>
        <v>-1.5144456313738064</v>
      </c>
      <c r="N796" s="304">
        <f t="shared" ca="1" si="365"/>
        <v>-86.771342979744361</v>
      </c>
      <c r="P796" s="310">
        <f t="shared" ca="1" si="366"/>
        <v>23</v>
      </c>
      <c r="Q796" s="304">
        <f t="shared" ca="1" si="367"/>
        <v>0</v>
      </c>
      <c r="R796" s="306">
        <f t="shared" ca="1" si="368"/>
        <v>0</v>
      </c>
      <c r="S796" s="307">
        <f t="shared" ca="1" si="369"/>
        <v>7.4819999999999904</v>
      </c>
      <c r="T796" s="304">
        <f t="shared" ca="1" si="349"/>
        <v>73.398419999999916</v>
      </c>
      <c r="U796" s="311">
        <f t="shared" ca="1" si="350"/>
        <v>0</v>
      </c>
      <c r="V796" s="306">
        <f t="shared" ca="1" si="351"/>
        <v>1.2254451284627959</v>
      </c>
      <c r="W796" s="304">
        <f t="shared" ca="1" si="352"/>
        <v>56.534788696841439</v>
      </c>
      <c r="Y796" s="314" t="str">
        <f t="shared" ca="1" si="370"/>
        <v/>
      </c>
      <c r="Z796" s="315" t="str">
        <f t="shared" ca="1" si="371"/>
        <v/>
      </c>
      <c r="AA796" s="316" t="str">
        <f t="shared" ca="1" si="372"/>
        <v/>
      </c>
      <c r="AC796" s="310" t="e">
        <f t="shared" ca="1" si="373"/>
        <v>#N/A</v>
      </c>
      <c r="AD796" s="323" t="e">
        <f t="shared" ca="1" si="374"/>
        <v>#N/A</v>
      </c>
      <c r="AE796" s="324" t="e">
        <f t="shared" ca="1" si="353"/>
        <v>#N/A</v>
      </c>
      <c r="AG796" s="306">
        <f t="shared" ca="1" si="375"/>
        <v>2.2383576393254971</v>
      </c>
      <c r="AH796" s="304">
        <f t="shared" ca="1" si="376"/>
        <v>-7.5560709093567686</v>
      </c>
    </row>
    <row r="797" spans="1:34" x14ac:dyDescent="0.2">
      <c r="A797" s="347">
        <f t="shared" ca="1" si="354"/>
        <v>1E-4</v>
      </c>
      <c r="B797" s="304">
        <f t="shared" ca="1" si="355"/>
        <v>37.705600000000409</v>
      </c>
      <c r="D797" s="306">
        <f t="shared" ca="1" si="356"/>
        <v>-0.42556654739566047</v>
      </c>
      <c r="E797" s="307">
        <f t="shared" ca="1" si="357"/>
        <v>-2.2658871775359959</v>
      </c>
      <c r="F797" s="304">
        <f t="shared" ca="1" si="358"/>
        <v>2.3055046275347846</v>
      </c>
      <c r="G797" s="306">
        <f t="shared" ca="1" si="359"/>
        <v>7.439957049122075</v>
      </c>
      <c r="H797" s="307">
        <f t="shared" ca="1" si="360"/>
        <v>-131.89075409506387</v>
      </c>
      <c r="I797" s="304">
        <f t="shared" ca="1" si="361"/>
        <v>132.100431402238</v>
      </c>
      <c r="J797" s="306">
        <f t="shared" ca="1" si="362"/>
        <v>515.22511340180665</v>
      </c>
      <c r="K797" s="307">
        <f t="shared" ca="1" si="363"/>
        <v>-3.6462307316984552</v>
      </c>
      <c r="L797" s="304">
        <f t="shared" ca="1" si="348"/>
        <v>515.23801536615417</v>
      </c>
      <c r="M797" s="306">
        <f t="shared" ca="1" si="364"/>
        <v>-1.5144460496221062</v>
      </c>
      <c r="N797" s="304">
        <f t="shared" ca="1" si="365"/>
        <v>-86.771366943606722</v>
      </c>
      <c r="P797" s="310">
        <f t="shared" ca="1" si="366"/>
        <v>23</v>
      </c>
      <c r="Q797" s="304">
        <f t="shared" ca="1" si="367"/>
        <v>0</v>
      </c>
      <c r="R797" s="306">
        <f t="shared" ca="1" si="368"/>
        <v>0</v>
      </c>
      <c r="S797" s="307">
        <f t="shared" ca="1" si="369"/>
        <v>7.4819999999999904</v>
      </c>
      <c r="T797" s="304">
        <f t="shared" ca="1" si="349"/>
        <v>73.398419999999916</v>
      </c>
      <c r="U797" s="311">
        <f t="shared" ca="1" si="350"/>
        <v>0</v>
      </c>
      <c r="V797" s="306">
        <f t="shared" ca="1" si="351"/>
        <v>1.2254467447113477</v>
      </c>
      <c r="W797" s="304">
        <f t="shared" ca="1" si="352"/>
        <v>56.535054847907105</v>
      </c>
      <c r="Y797" s="314" t="str">
        <f t="shared" ca="1" si="370"/>
        <v/>
      </c>
      <c r="Z797" s="315" t="str">
        <f t="shared" ca="1" si="371"/>
        <v/>
      </c>
      <c r="AA797" s="316" t="str">
        <f t="shared" ca="1" si="372"/>
        <v/>
      </c>
      <c r="AC797" s="310" t="e">
        <f t="shared" ca="1" si="373"/>
        <v>#N/A</v>
      </c>
      <c r="AD797" s="323" t="e">
        <f t="shared" ca="1" si="374"/>
        <v>#N/A</v>
      </c>
      <c r="AE797" s="324" t="e">
        <f t="shared" ca="1" si="353"/>
        <v>#N/A</v>
      </c>
      <c r="AG797" s="306">
        <f t="shared" ca="1" si="375"/>
        <v>2.2383222979688204</v>
      </c>
      <c r="AH797" s="304">
        <f t="shared" ca="1" si="376"/>
        <v>-7.5561064818018595</v>
      </c>
    </row>
    <row r="798" spans="1:34" x14ac:dyDescent="0.2">
      <c r="A798" s="347">
        <f t="shared" ca="1" si="354"/>
        <v>1E-4</v>
      </c>
      <c r="B798" s="304">
        <f t="shared" ca="1" si="355"/>
        <v>37.705700000000412</v>
      </c>
      <c r="D798" s="306">
        <f t="shared" ca="1" si="356"/>
        <v>-0.42556539552491129</v>
      </c>
      <c r="E798" s="307">
        <f t="shared" ca="1" si="357"/>
        <v>-2.265851483824366</v>
      </c>
      <c r="F798" s="304">
        <f t="shared" ca="1" si="358"/>
        <v>2.3054693345645165</v>
      </c>
      <c r="G798" s="306">
        <f t="shared" ca="1" si="359"/>
        <v>7.4399144925825222</v>
      </c>
      <c r="H798" s="307">
        <f t="shared" ca="1" si="360"/>
        <v>-131.89098068021224</v>
      </c>
      <c r="I798" s="304">
        <f t="shared" ca="1" si="361"/>
        <v>132.10065523094522</v>
      </c>
      <c r="J798" s="306">
        <f t="shared" ca="1" si="362"/>
        <v>515.22511340180665</v>
      </c>
      <c r="K798" s="307">
        <f t="shared" ca="1" si="363"/>
        <v>-3.6594198184372191</v>
      </c>
      <c r="L798" s="304">
        <f t="shared" ca="1" si="348"/>
        <v>515.23810887133743</v>
      </c>
      <c r="M798" s="306">
        <f t="shared" ca="1" si="364"/>
        <v>-1.5144464678665959</v>
      </c>
      <c r="N798" s="304">
        <f t="shared" ca="1" si="365"/>
        <v>-86.77139090725079</v>
      </c>
      <c r="P798" s="310">
        <f t="shared" ca="1" si="366"/>
        <v>23</v>
      </c>
      <c r="Q798" s="304">
        <f t="shared" ca="1" si="367"/>
        <v>0</v>
      </c>
      <c r="R798" s="306">
        <f t="shared" ca="1" si="368"/>
        <v>0</v>
      </c>
      <c r="S798" s="307">
        <f t="shared" ca="1" si="369"/>
        <v>7.4819999999999904</v>
      </c>
      <c r="T798" s="304">
        <f t="shared" ca="1" si="349"/>
        <v>73.398419999999916</v>
      </c>
      <c r="U798" s="311">
        <f t="shared" ca="1" si="350"/>
        <v>0</v>
      </c>
      <c r="V798" s="306">
        <f t="shared" ca="1" si="351"/>
        <v>1.2254483609648086</v>
      </c>
      <c r="W798" s="304">
        <f t="shared" ca="1" si="352"/>
        <v>56.535320997004213</v>
      </c>
      <c r="Y798" s="314" t="str">
        <f t="shared" ca="1" si="370"/>
        <v/>
      </c>
      <c r="Z798" s="315" t="str">
        <f t="shared" ca="1" si="371"/>
        <v/>
      </c>
      <c r="AA798" s="316" t="str">
        <f t="shared" ca="1" si="372"/>
        <v/>
      </c>
      <c r="AC798" s="310" t="e">
        <f t="shared" ca="1" si="373"/>
        <v>#N/A</v>
      </c>
      <c r="AD798" s="323" t="e">
        <f t="shared" ca="1" si="374"/>
        <v>#N/A</v>
      </c>
      <c r="AE798" s="324" t="e">
        <f t="shared" ca="1" si="353"/>
        <v>#N/A</v>
      </c>
      <c r="AG798" s="306">
        <f t="shared" ca="1" si="375"/>
        <v>2.2382869568714217</v>
      </c>
      <c r="AH798" s="304">
        <f t="shared" ca="1" si="376"/>
        <v>-7.5561420539838515</v>
      </c>
    </row>
    <row r="799" spans="1:34" x14ac:dyDescent="0.2">
      <c r="A799" s="347">
        <f t="shared" ca="1" si="354"/>
        <v>1E-4</v>
      </c>
      <c r="B799" s="304">
        <f t="shared" ca="1" si="355"/>
        <v>37.705800000000416</v>
      </c>
      <c r="D799" s="306">
        <f t="shared" ca="1" si="356"/>
        <v>-0.42556424363830458</v>
      </c>
      <c r="E799" s="307">
        <f t="shared" ca="1" si="357"/>
        <v>-2.2658157903766902</v>
      </c>
      <c r="F799" s="304">
        <f t="shared" ca="1" si="358"/>
        <v>2.3054340418636547</v>
      </c>
      <c r="G799" s="306">
        <f t="shared" ca="1" si="359"/>
        <v>7.4398719361581582</v>
      </c>
      <c r="H799" s="307">
        <f t="shared" ca="1" si="360"/>
        <v>-131.89120726179127</v>
      </c>
      <c r="I799" s="304">
        <f t="shared" ca="1" si="361"/>
        <v>132.10087905611837</v>
      </c>
      <c r="J799" s="306">
        <f t="shared" ca="1" si="362"/>
        <v>515.22511340180665</v>
      </c>
      <c r="K799" s="307">
        <f t="shared" ca="1" si="363"/>
        <v>-3.6726089278343195</v>
      </c>
      <c r="L799" s="304">
        <f t="shared" ca="1" si="348"/>
        <v>515.23820271427985</v>
      </c>
      <c r="M799" s="306">
        <f t="shared" ca="1" si="364"/>
        <v>-1.5144468861072762</v>
      </c>
      <c r="N799" s="304">
        <f t="shared" ca="1" si="365"/>
        <v>-86.771414870676594</v>
      </c>
      <c r="P799" s="310">
        <f t="shared" ca="1" si="366"/>
        <v>23</v>
      </c>
      <c r="Q799" s="304">
        <f t="shared" ca="1" si="367"/>
        <v>0</v>
      </c>
      <c r="R799" s="306">
        <f t="shared" ca="1" si="368"/>
        <v>0</v>
      </c>
      <c r="S799" s="307">
        <f t="shared" ca="1" si="369"/>
        <v>7.4819999999999904</v>
      </c>
      <c r="T799" s="304">
        <f t="shared" ca="1" si="349"/>
        <v>73.398419999999916</v>
      </c>
      <c r="U799" s="311">
        <f t="shared" ca="1" si="350"/>
        <v>0</v>
      </c>
      <c r="V799" s="306">
        <f t="shared" ca="1" si="351"/>
        <v>1.2254499772231782</v>
      </c>
      <c r="W799" s="304">
        <f t="shared" ca="1" si="352"/>
        <v>56.535587144132798</v>
      </c>
      <c r="Y799" s="314" t="str">
        <f t="shared" ca="1" si="370"/>
        <v/>
      </c>
      <c r="Z799" s="315" t="str">
        <f t="shared" ca="1" si="371"/>
        <v/>
      </c>
      <c r="AA799" s="316" t="str">
        <f t="shared" ca="1" si="372"/>
        <v/>
      </c>
      <c r="AC799" s="310" t="e">
        <f t="shared" ca="1" si="373"/>
        <v>#N/A</v>
      </c>
      <c r="AD799" s="323" t="e">
        <f t="shared" ca="1" si="374"/>
        <v>#N/A</v>
      </c>
      <c r="AE799" s="324" t="e">
        <f t="shared" ca="1" si="353"/>
        <v>#N/A</v>
      </c>
      <c r="AG799" s="306">
        <f t="shared" ca="1" si="375"/>
        <v>2.2382516160333115</v>
      </c>
      <c r="AH799" s="304">
        <f t="shared" ca="1" si="376"/>
        <v>-7.5561776259027376</v>
      </c>
    </row>
    <row r="800" spans="1:34" x14ac:dyDescent="0.2">
      <c r="A800" s="347">
        <f t="shared" ca="1" si="354"/>
        <v>1E-4</v>
      </c>
      <c r="B800" s="304">
        <f t="shared" ca="1" si="355"/>
        <v>37.705900000000419</v>
      </c>
      <c r="D800" s="306">
        <f t="shared" ca="1" si="356"/>
        <v>-0.42556309173583634</v>
      </c>
      <c r="E800" s="307">
        <f t="shared" ca="1" si="357"/>
        <v>-2.2657800971929625</v>
      </c>
      <c r="F800" s="304">
        <f t="shared" ca="1" si="358"/>
        <v>2.3053987494321917</v>
      </c>
      <c r="G800" s="306">
        <f t="shared" ca="1" si="359"/>
        <v>7.4398293798489847</v>
      </c>
      <c r="H800" s="307">
        <f t="shared" ca="1" si="360"/>
        <v>-131.89143383980098</v>
      </c>
      <c r="I800" s="304">
        <f t="shared" ca="1" si="361"/>
        <v>132.10110287775748</v>
      </c>
      <c r="J800" s="306">
        <f t="shared" ca="1" si="362"/>
        <v>515.22511340180665</v>
      </c>
      <c r="K800" s="307">
        <f t="shared" ca="1" si="363"/>
        <v>-3.6857980598893989</v>
      </c>
      <c r="L800" s="304">
        <f t="shared" ca="1" si="348"/>
        <v>515.23829689498314</v>
      </c>
      <c r="M800" s="306">
        <f t="shared" ca="1" si="364"/>
        <v>-1.5144473043441466</v>
      </c>
      <c r="N800" s="304">
        <f t="shared" ca="1" si="365"/>
        <v>-86.771438833884105</v>
      </c>
      <c r="P800" s="310">
        <f t="shared" ca="1" si="366"/>
        <v>23</v>
      </c>
      <c r="Q800" s="304">
        <f t="shared" ca="1" si="367"/>
        <v>0</v>
      </c>
      <c r="R800" s="306">
        <f t="shared" ca="1" si="368"/>
        <v>0</v>
      </c>
      <c r="S800" s="307">
        <f t="shared" ca="1" si="369"/>
        <v>7.4819999999999904</v>
      </c>
      <c r="T800" s="304">
        <f t="shared" ca="1" si="349"/>
        <v>73.398419999999916</v>
      </c>
      <c r="U800" s="311">
        <f t="shared" ca="1" si="350"/>
        <v>0</v>
      </c>
      <c r="V800" s="306">
        <f t="shared" ca="1" si="351"/>
        <v>1.2254515934864565</v>
      </c>
      <c r="W800" s="304">
        <f t="shared" ca="1" si="352"/>
        <v>56.535853289292845</v>
      </c>
      <c r="Y800" s="314" t="str">
        <f t="shared" ca="1" si="370"/>
        <v/>
      </c>
      <c r="Z800" s="315" t="str">
        <f t="shared" ca="1" si="371"/>
        <v/>
      </c>
      <c r="AA800" s="316" t="str">
        <f t="shared" ca="1" si="372"/>
        <v/>
      </c>
      <c r="AC800" s="310" t="e">
        <f t="shared" ca="1" si="373"/>
        <v>#N/A</v>
      </c>
      <c r="AD800" s="323" t="e">
        <f t="shared" ca="1" si="374"/>
        <v>#N/A</v>
      </c>
      <c r="AE800" s="324" t="e">
        <f t="shared" ca="1" si="353"/>
        <v>#N/A</v>
      </c>
      <c r="AG800" s="306">
        <f t="shared" ca="1" si="375"/>
        <v>2.2382162754544845</v>
      </c>
      <c r="AH800" s="304">
        <f t="shared" ca="1" si="376"/>
        <v>-7.5562131975585229</v>
      </c>
    </row>
    <row r="801" spans="1:34" x14ac:dyDescent="0.2">
      <c r="A801" s="347">
        <f t="shared" ca="1" si="354"/>
        <v>1E-4</v>
      </c>
      <c r="B801" s="304">
        <f t="shared" ca="1" si="355"/>
        <v>37.706000000000422</v>
      </c>
      <c r="D801" s="306">
        <f t="shared" ca="1" si="356"/>
        <v>-0.42556193981751045</v>
      </c>
      <c r="E801" s="307">
        <f t="shared" ca="1" si="357"/>
        <v>-2.2657444042731854</v>
      </c>
      <c r="F801" s="304">
        <f t="shared" ca="1" si="358"/>
        <v>2.3053634572701318</v>
      </c>
      <c r="G801" s="306">
        <f t="shared" ca="1" si="359"/>
        <v>7.4397868236550027</v>
      </c>
      <c r="H801" s="307">
        <f t="shared" ca="1" si="360"/>
        <v>-131.89166041424141</v>
      </c>
      <c r="I801" s="304">
        <f t="shared" ca="1" si="361"/>
        <v>132.10132669586255</v>
      </c>
      <c r="J801" s="306">
        <f t="shared" ca="1" si="362"/>
        <v>515.22511340180665</v>
      </c>
      <c r="K801" s="307">
        <f t="shared" ca="1" si="363"/>
        <v>-3.6989872146021012</v>
      </c>
      <c r="L801" s="304">
        <f t="shared" ca="1" si="348"/>
        <v>515.23839141344888</v>
      </c>
      <c r="M801" s="306">
        <f t="shared" ca="1" si="364"/>
        <v>-1.5144477225772077</v>
      </c>
      <c r="N801" s="304">
        <f t="shared" ca="1" si="365"/>
        <v>-86.771462796873365</v>
      </c>
      <c r="P801" s="310">
        <f t="shared" ca="1" si="366"/>
        <v>23</v>
      </c>
      <c r="Q801" s="304">
        <f t="shared" ca="1" si="367"/>
        <v>0</v>
      </c>
      <c r="R801" s="306">
        <f t="shared" ca="1" si="368"/>
        <v>0</v>
      </c>
      <c r="S801" s="307">
        <f t="shared" ca="1" si="369"/>
        <v>7.4819999999999904</v>
      </c>
      <c r="T801" s="304">
        <f t="shared" ca="1" si="349"/>
        <v>73.398419999999916</v>
      </c>
      <c r="U801" s="311">
        <f t="shared" ca="1" si="350"/>
        <v>0</v>
      </c>
      <c r="V801" s="306">
        <f t="shared" ca="1" si="351"/>
        <v>1.2254532097546431</v>
      </c>
      <c r="W801" s="304">
        <f t="shared" ca="1" si="352"/>
        <v>56.536119432484327</v>
      </c>
      <c r="Y801" s="314" t="str">
        <f t="shared" ca="1" si="370"/>
        <v/>
      </c>
      <c r="Z801" s="315" t="str">
        <f t="shared" ca="1" si="371"/>
        <v/>
      </c>
      <c r="AA801" s="316" t="str">
        <f t="shared" ca="1" si="372"/>
        <v/>
      </c>
      <c r="AC801" s="310" t="e">
        <f t="shared" ca="1" si="373"/>
        <v>#N/A</v>
      </c>
      <c r="AD801" s="323" t="e">
        <f t="shared" ca="1" si="374"/>
        <v>#N/A</v>
      </c>
      <c r="AE801" s="324" t="e">
        <f t="shared" ca="1" si="353"/>
        <v>#N/A</v>
      </c>
      <c r="AG801" s="306">
        <f t="shared" ca="1" si="375"/>
        <v>2.2381809351349418</v>
      </c>
      <c r="AH801" s="304">
        <f t="shared" ca="1" si="376"/>
        <v>-7.556248768951205</v>
      </c>
    </row>
    <row r="802" spans="1:34" x14ac:dyDescent="0.2">
      <c r="A802" s="347">
        <f t="shared" ca="1" si="354"/>
        <v>1E-4</v>
      </c>
      <c r="B802" s="304">
        <f t="shared" ca="1" si="355"/>
        <v>37.706100000000426</v>
      </c>
      <c r="D802" s="306">
        <f t="shared" ca="1" si="356"/>
        <v>-0.42556078788332419</v>
      </c>
      <c r="E802" s="307">
        <f t="shared" ca="1" si="357"/>
        <v>-2.2657087116173633</v>
      </c>
      <c r="F802" s="304">
        <f t="shared" ca="1" si="358"/>
        <v>2.3053281653774778</v>
      </c>
      <c r="G802" s="306">
        <f t="shared" ca="1" si="359"/>
        <v>7.4397442675762147</v>
      </c>
      <c r="H802" s="307">
        <f t="shared" ca="1" si="360"/>
        <v>-131.89188698511256</v>
      </c>
      <c r="I802" s="304">
        <f t="shared" ca="1" si="361"/>
        <v>132.10155051043361</v>
      </c>
      <c r="J802" s="306">
        <f t="shared" ca="1" si="362"/>
        <v>515.22511340180665</v>
      </c>
      <c r="K802" s="307">
        <f t="shared" ca="1" si="363"/>
        <v>-3.7121763919720689</v>
      </c>
      <c r="L802" s="304">
        <f t="shared" ca="1" si="348"/>
        <v>515.23848626967845</v>
      </c>
      <c r="M802" s="306">
        <f t="shared" ca="1" si="364"/>
        <v>-1.5144481408064592</v>
      </c>
      <c r="N802" s="304">
        <f t="shared" ca="1" si="365"/>
        <v>-86.771486759644333</v>
      </c>
      <c r="P802" s="310">
        <f t="shared" ca="1" si="366"/>
        <v>23</v>
      </c>
      <c r="Q802" s="304">
        <f t="shared" ca="1" si="367"/>
        <v>0</v>
      </c>
      <c r="R802" s="306">
        <f t="shared" ca="1" si="368"/>
        <v>0</v>
      </c>
      <c r="S802" s="307">
        <f t="shared" ca="1" si="369"/>
        <v>7.4819999999999904</v>
      </c>
      <c r="T802" s="304">
        <f t="shared" ca="1" si="349"/>
        <v>73.398419999999916</v>
      </c>
      <c r="U802" s="311">
        <f t="shared" ca="1" si="350"/>
        <v>0</v>
      </c>
      <c r="V802" s="306">
        <f t="shared" ca="1" si="351"/>
        <v>1.2254548260277387</v>
      </c>
      <c r="W802" s="304">
        <f t="shared" ca="1" si="352"/>
        <v>56.536385573707285</v>
      </c>
      <c r="Y802" s="314" t="str">
        <f t="shared" ca="1" si="370"/>
        <v/>
      </c>
      <c r="Z802" s="315" t="str">
        <f t="shared" ca="1" si="371"/>
        <v/>
      </c>
      <c r="AA802" s="316" t="str">
        <f t="shared" ca="1" si="372"/>
        <v/>
      </c>
      <c r="AC802" s="310" t="e">
        <f t="shared" ca="1" si="373"/>
        <v>#N/A</v>
      </c>
      <c r="AD802" s="323" t="e">
        <f t="shared" ca="1" si="374"/>
        <v>#N/A</v>
      </c>
      <c r="AE802" s="324" t="e">
        <f t="shared" ca="1" si="353"/>
        <v>#N/A</v>
      </c>
      <c r="AG802" s="306">
        <f t="shared" ca="1" si="375"/>
        <v>2.2381455950746885</v>
      </c>
      <c r="AH802" s="304">
        <f t="shared" ca="1" si="376"/>
        <v>-7.5562843400807802</v>
      </c>
    </row>
    <row r="803" spans="1:34" x14ac:dyDescent="0.2">
      <c r="A803" s="347">
        <f t="shared" ca="1" si="354"/>
        <v>1E-4</v>
      </c>
      <c r="B803" s="304">
        <f t="shared" ca="1" si="355"/>
        <v>37.706200000000429</v>
      </c>
      <c r="D803" s="306">
        <f t="shared" ca="1" si="356"/>
        <v>-0.42555963593328028</v>
      </c>
      <c r="E803" s="307">
        <f t="shared" ca="1" si="357"/>
        <v>-2.2656730192254884</v>
      </c>
      <c r="F803" s="304">
        <f t="shared" ca="1" si="358"/>
        <v>2.3052928737542233</v>
      </c>
      <c r="G803" s="306">
        <f t="shared" ca="1" si="359"/>
        <v>7.4397017116126216</v>
      </c>
      <c r="H803" s="307">
        <f t="shared" ca="1" si="360"/>
        <v>-131.89211355241449</v>
      </c>
      <c r="I803" s="304">
        <f t="shared" ca="1" si="361"/>
        <v>132.10177432147069</v>
      </c>
      <c r="J803" s="306">
        <f t="shared" ca="1" si="362"/>
        <v>515.22511340180665</v>
      </c>
      <c r="K803" s="307">
        <f t="shared" ca="1" si="363"/>
        <v>-3.7253655919989455</v>
      </c>
      <c r="L803" s="304">
        <f t="shared" ca="1" si="348"/>
        <v>515.23858146367354</v>
      </c>
      <c r="M803" s="306">
        <f t="shared" ca="1" si="364"/>
        <v>-1.5144485590319012</v>
      </c>
      <c r="N803" s="304">
        <f t="shared" ca="1" si="365"/>
        <v>-86.77151072219705</v>
      </c>
      <c r="P803" s="310">
        <f t="shared" ca="1" si="366"/>
        <v>23</v>
      </c>
      <c r="Q803" s="304">
        <f t="shared" ca="1" si="367"/>
        <v>0</v>
      </c>
      <c r="R803" s="306">
        <f t="shared" ca="1" si="368"/>
        <v>0</v>
      </c>
      <c r="S803" s="307">
        <f t="shared" ca="1" si="369"/>
        <v>7.4819999999999904</v>
      </c>
      <c r="T803" s="304">
        <f t="shared" ca="1" si="349"/>
        <v>73.398419999999916</v>
      </c>
      <c r="U803" s="311">
        <f t="shared" ca="1" si="350"/>
        <v>0</v>
      </c>
      <c r="V803" s="306">
        <f t="shared" ca="1" si="351"/>
        <v>1.225456442305743</v>
      </c>
      <c r="W803" s="304">
        <f t="shared" ca="1" si="352"/>
        <v>56.536651712961678</v>
      </c>
      <c r="Y803" s="314" t="str">
        <f t="shared" ca="1" si="370"/>
        <v/>
      </c>
      <c r="Z803" s="315" t="str">
        <f t="shared" ca="1" si="371"/>
        <v/>
      </c>
      <c r="AA803" s="316" t="str">
        <f t="shared" ca="1" si="372"/>
        <v/>
      </c>
      <c r="AC803" s="310" t="e">
        <f t="shared" ca="1" si="373"/>
        <v>#N/A</v>
      </c>
      <c r="AD803" s="323" t="e">
        <f t="shared" ca="1" si="374"/>
        <v>#N/A</v>
      </c>
      <c r="AE803" s="324" t="e">
        <f t="shared" ca="1" si="353"/>
        <v>#N/A</v>
      </c>
      <c r="AG803" s="306">
        <f t="shared" ca="1" si="375"/>
        <v>2.2381102552737184</v>
      </c>
      <c r="AH803" s="304">
        <f t="shared" ca="1" si="376"/>
        <v>-7.5563199109472547</v>
      </c>
    </row>
    <row r="804" spans="1:34" x14ac:dyDescent="0.2">
      <c r="A804" s="347">
        <f t="shared" ca="1" si="354"/>
        <v>1E-4</v>
      </c>
      <c r="B804" s="304">
        <f t="shared" ca="1" si="355"/>
        <v>37.706300000000432</v>
      </c>
      <c r="D804" s="306">
        <f t="shared" ca="1" si="356"/>
        <v>-0.42555848396737739</v>
      </c>
      <c r="E804" s="307">
        <f t="shared" ca="1" si="357"/>
        <v>-2.2656373270975694</v>
      </c>
      <c r="F804" s="304">
        <f t="shared" ca="1" si="358"/>
        <v>2.3052575824003769</v>
      </c>
      <c r="G804" s="306">
        <f t="shared" ca="1" si="359"/>
        <v>7.4396591557642253</v>
      </c>
      <c r="H804" s="307">
        <f t="shared" ca="1" si="360"/>
        <v>-131.89234011614718</v>
      </c>
      <c r="I804" s="304">
        <f t="shared" ca="1" si="361"/>
        <v>132.10199812897378</v>
      </c>
      <c r="J804" s="306">
        <f t="shared" ca="1" si="362"/>
        <v>515.22511340180665</v>
      </c>
      <c r="K804" s="307">
        <f t="shared" ca="1" si="363"/>
        <v>-3.7385548146823737</v>
      </c>
      <c r="L804" s="304">
        <f t="shared" ca="1" si="348"/>
        <v>515.23867699543575</v>
      </c>
      <c r="M804" s="306">
        <f t="shared" ca="1" si="364"/>
        <v>-1.5144489772535339</v>
      </c>
      <c r="N804" s="304">
        <f t="shared" ca="1" si="365"/>
        <v>-86.771534684531503</v>
      </c>
      <c r="P804" s="310">
        <f t="shared" ca="1" si="366"/>
        <v>23</v>
      </c>
      <c r="Q804" s="304">
        <f t="shared" ca="1" si="367"/>
        <v>0</v>
      </c>
      <c r="R804" s="306">
        <f t="shared" ca="1" si="368"/>
        <v>0</v>
      </c>
      <c r="S804" s="307">
        <f t="shared" ca="1" si="369"/>
        <v>7.4819999999999904</v>
      </c>
      <c r="T804" s="304">
        <f t="shared" ca="1" si="349"/>
        <v>73.398419999999916</v>
      </c>
      <c r="U804" s="311">
        <f t="shared" ca="1" si="350"/>
        <v>0</v>
      </c>
      <c r="V804" s="306">
        <f t="shared" ca="1" si="351"/>
        <v>1.2254580585886556</v>
      </c>
      <c r="W804" s="304">
        <f t="shared" ca="1" si="352"/>
        <v>56.536917850247484</v>
      </c>
      <c r="Y804" s="314" t="str">
        <f t="shared" ca="1" si="370"/>
        <v/>
      </c>
      <c r="Z804" s="315" t="str">
        <f t="shared" ca="1" si="371"/>
        <v/>
      </c>
      <c r="AA804" s="316" t="str">
        <f t="shared" ca="1" si="372"/>
        <v/>
      </c>
      <c r="AC804" s="310" t="e">
        <f t="shared" ca="1" si="373"/>
        <v>#N/A</v>
      </c>
      <c r="AD804" s="323" t="e">
        <f t="shared" ca="1" si="374"/>
        <v>#N/A</v>
      </c>
      <c r="AE804" s="324" t="e">
        <f t="shared" ca="1" si="353"/>
        <v>#N/A</v>
      </c>
      <c r="AG804" s="306">
        <f t="shared" ca="1" si="375"/>
        <v>2.238074915732037</v>
      </c>
      <c r="AH804" s="304">
        <f t="shared" ca="1" si="376"/>
        <v>-7.5563554815506215</v>
      </c>
    </row>
    <row r="805" spans="1:34" x14ac:dyDescent="0.2">
      <c r="A805" s="347">
        <f t="shared" ca="1" si="354"/>
        <v>1E-4</v>
      </c>
      <c r="B805" s="304">
        <f t="shared" ca="1" si="355"/>
        <v>37.706400000000436</v>
      </c>
      <c r="D805" s="306">
        <f t="shared" ca="1" si="356"/>
        <v>-0.42555733198561613</v>
      </c>
      <c r="E805" s="307">
        <f t="shared" ca="1" si="357"/>
        <v>-2.2656016352336081</v>
      </c>
      <c r="F805" s="304">
        <f t="shared" ca="1" si="358"/>
        <v>2.3052222913159404</v>
      </c>
      <c r="G805" s="306">
        <f t="shared" ca="1" si="359"/>
        <v>7.4396166000310266</v>
      </c>
      <c r="H805" s="307">
        <f t="shared" ca="1" si="360"/>
        <v>-131.89256667631071</v>
      </c>
      <c r="I805" s="304">
        <f t="shared" ca="1" si="361"/>
        <v>132.102221932943</v>
      </c>
      <c r="J805" s="306">
        <f t="shared" ca="1" si="362"/>
        <v>515.22511340180665</v>
      </c>
      <c r="K805" s="307">
        <f t="shared" ca="1" si="363"/>
        <v>-3.7517440600219967</v>
      </c>
      <c r="L805" s="304">
        <f t="shared" ca="1" si="348"/>
        <v>515.23877286496634</v>
      </c>
      <c r="M805" s="306">
        <f t="shared" ca="1" si="364"/>
        <v>-1.5144493954713574</v>
      </c>
      <c r="N805" s="304">
        <f t="shared" ca="1" si="365"/>
        <v>-86.771558646647705</v>
      </c>
      <c r="P805" s="310">
        <f t="shared" ca="1" si="366"/>
        <v>23</v>
      </c>
      <c r="Q805" s="304">
        <f t="shared" ca="1" si="367"/>
        <v>0</v>
      </c>
      <c r="R805" s="306">
        <f t="shared" ca="1" si="368"/>
        <v>0</v>
      </c>
      <c r="S805" s="307">
        <f t="shared" ca="1" si="369"/>
        <v>7.4819999999999904</v>
      </c>
      <c r="T805" s="304">
        <f t="shared" ca="1" si="349"/>
        <v>73.398419999999916</v>
      </c>
      <c r="U805" s="311">
        <f t="shared" ca="1" si="350"/>
        <v>0</v>
      </c>
      <c r="V805" s="306">
        <f t="shared" ca="1" si="351"/>
        <v>1.225459674876477</v>
      </c>
      <c r="W805" s="304">
        <f t="shared" ca="1" si="352"/>
        <v>56.537183985564788</v>
      </c>
      <c r="Y805" s="314" t="str">
        <f t="shared" ca="1" si="370"/>
        <v/>
      </c>
      <c r="Z805" s="315" t="str">
        <f t="shared" ca="1" si="371"/>
        <v/>
      </c>
      <c r="AA805" s="316" t="str">
        <f t="shared" ca="1" si="372"/>
        <v/>
      </c>
      <c r="AC805" s="310" t="e">
        <f t="shared" ca="1" si="373"/>
        <v>#N/A</v>
      </c>
      <c r="AD805" s="323" t="e">
        <f t="shared" ca="1" si="374"/>
        <v>#N/A</v>
      </c>
      <c r="AE805" s="324" t="e">
        <f t="shared" ca="1" si="353"/>
        <v>#N/A</v>
      </c>
      <c r="AG805" s="306">
        <f t="shared" ca="1" si="375"/>
        <v>2.2380395764496495</v>
      </c>
      <c r="AH805" s="304">
        <f t="shared" ca="1" si="376"/>
        <v>-7.5563910518908788</v>
      </c>
    </row>
    <row r="806" spans="1:34" x14ac:dyDescent="0.2">
      <c r="A806" s="347">
        <f t="shared" ca="1" si="354"/>
        <v>1E-4</v>
      </c>
      <c r="B806" s="304">
        <f t="shared" ca="1" si="355"/>
        <v>37.706500000000439</v>
      </c>
      <c r="D806" s="306">
        <f t="shared" ca="1" si="356"/>
        <v>-0.42555617998799627</v>
      </c>
      <c r="E806" s="307">
        <f t="shared" ca="1" si="357"/>
        <v>-2.2655659436335913</v>
      </c>
      <c r="F806" s="304">
        <f t="shared" ca="1" si="358"/>
        <v>2.3051870005009012</v>
      </c>
      <c r="G806" s="306">
        <f t="shared" ca="1" si="359"/>
        <v>7.4395740444130283</v>
      </c>
      <c r="H806" s="307">
        <f t="shared" ca="1" si="360"/>
        <v>-131.89279323290506</v>
      </c>
      <c r="I806" s="304">
        <f t="shared" ca="1" si="361"/>
        <v>132.10244573337826</v>
      </c>
      <c r="J806" s="306">
        <f t="shared" ca="1" si="362"/>
        <v>515.22511340180665</v>
      </c>
      <c r="K806" s="307">
        <f t="shared" ca="1" si="363"/>
        <v>-3.7649333280174573</v>
      </c>
      <c r="L806" s="304">
        <f t="shared" ca="1" si="348"/>
        <v>515.23886907226722</v>
      </c>
      <c r="M806" s="306">
        <f t="shared" ca="1" si="364"/>
        <v>-1.5144498136853712</v>
      </c>
      <c r="N806" s="304">
        <f t="shared" ca="1" si="365"/>
        <v>-86.771582608545629</v>
      </c>
      <c r="P806" s="310">
        <f t="shared" ca="1" si="366"/>
        <v>23</v>
      </c>
      <c r="Q806" s="304">
        <f t="shared" ca="1" si="367"/>
        <v>0</v>
      </c>
      <c r="R806" s="306">
        <f t="shared" ca="1" si="368"/>
        <v>0</v>
      </c>
      <c r="S806" s="307">
        <f t="shared" ca="1" si="369"/>
        <v>7.4819999999999904</v>
      </c>
      <c r="T806" s="304">
        <f t="shared" ca="1" si="349"/>
        <v>73.398419999999916</v>
      </c>
      <c r="U806" s="311">
        <f t="shared" ca="1" si="350"/>
        <v>0</v>
      </c>
      <c r="V806" s="306">
        <f t="shared" ca="1" si="351"/>
        <v>1.2254612911692071</v>
      </c>
      <c r="W806" s="304">
        <f t="shared" ca="1" si="352"/>
        <v>56.537450118913505</v>
      </c>
      <c r="Y806" s="314" t="str">
        <f t="shared" ca="1" si="370"/>
        <v/>
      </c>
      <c r="Z806" s="315" t="str">
        <f t="shared" ca="1" si="371"/>
        <v/>
      </c>
      <c r="AA806" s="316" t="str">
        <f t="shared" ca="1" si="372"/>
        <v/>
      </c>
      <c r="AC806" s="310" t="e">
        <f t="shared" ca="1" si="373"/>
        <v>#N/A</v>
      </c>
      <c r="AD806" s="323" t="e">
        <f t="shared" ca="1" si="374"/>
        <v>#N/A</v>
      </c>
      <c r="AE806" s="324" t="e">
        <f t="shared" ca="1" si="353"/>
        <v>#N/A</v>
      </c>
      <c r="AG806" s="306">
        <f t="shared" ca="1" si="375"/>
        <v>2.2380042374265408</v>
      </c>
      <c r="AH806" s="304">
        <f t="shared" ca="1" si="376"/>
        <v>-7.556426621968038</v>
      </c>
    </row>
    <row r="807" spans="1:34" x14ac:dyDescent="0.2">
      <c r="A807" s="347">
        <f t="shared" ca="1" si="354"/>
        <v>1E-4</v>
      </c>
      <c r="B807" s="304">
        <f t="shared" ca="1" si="355"/>
        <v>37.706600000000442</v>
      </c>
      <c r="D807" s="306">
        <f t="shared" ca="1" si="356"/>
        <v>-0.42555502797452116</v>
      </c>
      <c r="E807" s="307">
        <f t="shared" ca="1" si="357"/>
        <v>-2.2655302522975322</v>
      </c>
      <c r="F807" s="304">
        <f t="shared" ca="1" si="358"/>
        <v>2.3051517099552723</v>
      </c>
      <c r="G807" s="306">
        <f t="shared" ca="1" si="359"/>
        <v>7.4395314889102311</v>
      </c>
      <c r="H807" s="307">
        <f t="shared" ca="1" si="360"/>
        <v>-131.89301978593031</v>
      </c>
      <c r="I807" s="304">
        <f t="shared" ca="1" si="361"/>
        <v>132.10266953027971</v>
      </c>
      <c r="J807" s="306">
        <f t="shared" ca="1" si="362"/>
        <v>515.22511340180665</v>
      </c>
      <c r="K807" s="307">
        <f t="shared" ca="1" si="363"/>
        <v>-3.7781226186683989</v>
      </c>
      <c r="L807" s="304">
        <f t="shared" ca="1" si="348"/>
        <v>515.23896561733977</v>
      </c>
      <c r="M807" s="306">
        <f t="shared" ca="1" si="364"/>
        <v>-1.5144502318955761</v>
      </c>
      <c r="N807" s="304">
        <f t="shared" ca="1" si="365"/>
        <v>-86.77160657022533</v>
      </c>
      <c r="P807" s="310">
        <f t="shared" ca="1" si="366"/>
        <v>23</v>
      </c>
      <c r="Q807" s="304">
        <f t="shared" ca="1" si="367"/>
        <v>0</v>
      </c>
      <c r="R807" s="306">
        <f t="shared" ca="1" si="368"/>
        <v>0</v>
      </c>
      <c r="S807" s="307">
        <f t="shared" ca="1" si="369"/>
        <v>7.4819999999999904</v>
      </c>
      <c r="T807" s="304">
        <f t="shared" ca="1" si="349"/>
        <v>73.398419999999916</v>
      </c>
      <c r="U807" s="311">
        <f t="shared" ca="1" si="350"/>
        <v>0</v>
      </c>
      <c r="V807" s="306">
        <f t="shared" ca="1" si="351"/>
        <v>1.2254629074668455</v>
      </c>
      <c r="W807" s="304">
        <f t="shared" ca="1" si="352"/>
        <v>56.537716250293691</v>
      </c>
      <c r="Y807" s="314" t="str">
        <f t="shared" ca="1" si="370"/>
        <v/>
      </c>
      <c r="Z807" s="315" t="str">
        <f t="shared" ca="1" si="371"/>
        <v/>
      </c>
      <c r="AA807" s="316" t="str">
        <f t="shared" ca="1" si="372"/>
        <v/>
      </c>
      <c r="AC807" s="310" t="e">
        <f t="shared" ca="1" si="373"/>
        <v>#N/A</v>
      </c>
      <c r="AD807" s="323" t="e">
        <f t="shared" ca="1" si="374"/>
        <v>#N/A</v>
      </c>
      <c r="AE807" s="324" t="e">
        <f t="shared" ca="1" si="353"/>
        <v>#N/A</v>
      </c>
      <c r="AG807" s="306">
        <f t="shared" ca="1" si="375"/>
        <v>2.2379688986627251</v>
      </c>
      <c r="AH807" s="304">
        <f t="shared" ca="1" si="376"/>
        <v>-7.5564621917820869</v>
      </c>
    </row>
    <row r="808" spans="1:34" x14ac:dyDescent="0.2">
      <c r="A808" s="347">
        <f t="shared" ca="1" si="354"/>
        <v>1E-4</v>
      </c>
      <c r="B808" s="304">
        <f t="shared" ca="1" si="355"/>
        <v>37.706700000000446</v>
      </c>
      <c r="D808" s="306">
        <f t="shared" ca="1" si="356"/>
        <v>-0.42555387594518701</v>
      </c>
      <c r="E808" s="307">
        <f t="shared" ca="1" si="357"/>
        <v>-2.265494561225422</v>
      </c>
      <c r="F808" s="304">
        <f t="shared" ca="1" si="358"/>
        <v>2.3051164196790448</v>
      </c>
      <c r="G808" s="306">
        <f t="shared" ca="1" si="359"/>
        <v>7.4394889335226368</v>
      </c>
      <c r="H808" s="307">
        <f t="shared" ca="1" si="360"/>
        <v>-131.89324633538644</v>
      </c>
      <c r="I808" s="304">
        <f t="shared" ca="1" si="361"/>
        <v>132.10289332364729</v>
      </c>
      <c r="J808" s="306">
        <f t="shared" ca="1" si="362"/>
        <v>515.22511340180665</v>
      </c>
      <c r="K808" s="307">
        <f t="shared" ca="1" si="363"/>
        <v>-3.7913119319744646</v>
      </c>
      <c r="L808" s="304">
        <f t="shared" ca="1" si="348"/>
        <v>515.23906250018558</v>
      </c>
      <c r="M808" s="306">
        <f t="shared" ca="1" si="364"/>
        <v>-1.5144506501019717</v>
      </c>
      <c r="N808" s="304">
        <f t="shared" ca="1" si="365"/>
        <v>-86.771630531686753</v>
      </c>
      <c r="P808" s="310">
        <f t="shared" ca="1" si="366"/>
        <v>23</v>
      </c>
      <c r="Q808" s="304">
        <f t="shared" ca="1" si="367"/>
        <v>0</v>
      </c>
      <c r="R808" s="306">
        <f t="shared" ca="1" si="368"/>
        <v>0</v>
      </c>
      <c r="S808" s="307">
        <f t="shared" ca="1" si="369"/>
        <v>7.4819999999999904</v>
      </c>
      <c r="T808" s="304">
        <f t="shared" ca="1" si="349"/>
        <v>73.398419999999916</v>
      </c>
      <c r="U808" s="311">
        <f t="shared" ca="1" si="350"/>
        <v>0</v>
      </c>
      <c r="V808" s="306">
        <f t="shared" ca="1" si="351"/>
        <v>1.2254645237693924</v>
      </c>
      <c r="W808" s="304">
        <f t="shared" ca="1" si="352"/>
        <v>56.537982379705312</v>
      </c>
      <c r="Y808" s="314" t="str">
        <f t="shared" ca="1" si="370"/>
        <v/>
      </c>
      <c r="Z808" s="315" t="str">
        <f t="shared" ca="1" si="371"/>
        <v/>
      </c>
      <c r="AA808" s="316" t="str">
        <f t="shared" ca="1" si="372"/>
        <v/>
      </c>
      <c r="AC808" s="310" t="e">
        <f t="shared" ca="1" si="373"/>
        <v>#N/A</v>
      </c>
      <c r="AD808" s="323" t="e">
        <f t="shared" ca="1" si="374"/>
        <v>#N/A</v>
      </c>
      <c r="AE808" s="324" t="e">
        <f t="shared" ca="1" si="353"/>
        <v>#N/A</v>
      </c>
      <c r="AG808" s="306">
        <f t="shared" ca="1" si="375"/>
        <v>2.2379335601581936</v>
      </c>
      <c r="AH808" s="304">
        <f t="shared" ca="1" si="376"/>
        <v>-7.5564977613330342</v>
      </c>
    </row>
    <row r="809" spans="1:34" x14ac:dyDescent="0.2">
      <c r="A809" s="347">
        <f t="shared" ca="1" si="354"/>
        <v>1E-4</v>
      </c>
      <c r="B809" s="304">
        <f t="shared" ca="1" si="355"/>
        <v>37.706800000000449</v>
      </c>
      <c r="D809" s="306">
        <f t="shared" ca="1" si="356"/>
        <v>-0.4255527238999976</v>
      </c>
      <c r="E809" s="307">
        <f t="shared" ca="1" si="357"/>
        <v>-2.2654588704172678</v>
      </c>
      <c r="F809" s="304">
        <f t="shared" ca="1" si="358"/>
        <v>2.3050811296722271</v>
      </c>
      <c r="G809" s="306">
        <f t="shared" ca="1" si="359"/>
        <v>7.4394463782502465</v>
      </c>
      <c r="H809" s="307">
        <f t="shared" ca="1" si="360"/>
        <v>-131.89347288127348</v>
      </c>
      <c r="I809" s="304">
        <f t="shared" ca="1" si="361"/>
        <v>132.10311711348103</v>
      </c>
      <c r="J809" s="306">
        <f t="shared" ca="1" si="362"/>
        <v>515.22511340180665</v>
      </c>
      <c r="K809" s="307">
        <f t="shared" ca="1" si="363"/>
        <v>-3.8045012679352976</v>
      </c>
      <c r="L809" s="304">
        <f t="shared" ca="1" si="348"/>
        <v>515.23915972080601</v>
      </c>
      <c r="M809" s="306">
        <f t="shared" ca="1" si="364"/>
        <v>-1.514451068304558</v>
      </c>
      <c r="N809" s="304">
        <f t="shared" ca="1" si="365"/>
        <v>-86.771654492929926</v>
      </c>
      <c r="P809" s="310">
        <f t="shared" ca="1" si="366"/>
        <v>23</v>
      </c>
      <c r="Q809" s="304">
        <f t="shared" ca="1" si="367"/>
        <v>0</v>
      </c>
      <c r="R809" s="306">
        <f t="shared" ca="1" si="368"/>
        <v>0</v>
      </c>
      <c r="S809" s="307">
        <f t="shared" ca="1" si="369"/>
        <v>7.4819999999999904</v>
      </c>
      <c r="T809" s="304">
        <f t="shared" ca="1" si="349"/>
        <v>73.398419999999916</v>
      </c>
      <c r="U809" s="311">
        <f t="shared" ca="1" si="350"/>
        <v>0</v>
      </c>
      <c r="V809" s="306">
        <f t="shared" ca="1" si="351"/>
        <v>1.2254661400768478</v>
      </c>
      <c r="W809" s="304">
        <f t="shared" ca="1" si="352"/>
        <v>56.538248507148339</v>
      </c>
      <c r="Y809" s="314" t="str">
        <f t="shared" ca="1" si="370"/>
        <v/>
      </c>
      <c r="Z809" s="315" t="str">
        <f t="shared" ca="1" si="371"/>
        <v/>
      </c>
      <c r="AA809" s="316" t="str">
        <f t="shared" ca="1" si="372"/>
        <v/>
      </c>
      <c r="AC809" s="310" t="e">
        <f t="shared" ca="1" si="373"/>
        <v>#N/A</v>
      </c>
      <c r="AD809" s="323" t="e">
        <f t="shared" ca="1" si="374"/>
        <v>#N/A</v>
      </c>
      <c r="AE809" s="324" t="e">
        <f t="shared" ca="1" si="353"/>
        <v>#N/A</v>
      </c>
      <c r="AG809" s="306">
        <f t="shared" ca="1" si="375"/>
        <v>2.2378982219129515</v>
      </c>
      <c r="AH809" s="304">
        <f t="shared" ca="1" si="376"/>
        <v>-7.5565333306208746</v>
      </c>
    </row>
    <row r="810" spans="1:34" x14ac:dyDescent="0.2">
      <c r="A810" s="347">
        <f t="shared" ca="1" si="354"/>
        <v>1E-4</v>
      </c>
      <c r="B810" s="304">
        <f t="shared" ca="1" si="355"/>
        <v>37.706900000000452</v>
      </c>
      <c r="D810" s="306">
        <f t="shared" ca="1" si="356"/>
        <v>-0.42555157183895176</v>
      </c>
      <c r="E810" s="307">
        <f t="shared" ca="1" si="357"/>
        <v>-2.2654231798730704</v>
      </c>
      <c r="F810" s="304">
        <f t="shared" ca="1" si="358"/>
        <v>2.3050458399348193</v>
      </c>
      <c r="G810" s="306">
        <f t="shared" ca="1" si="359"/>
        <v>7.4394038230930626</v>
      </c>
      <c r="H810" s="307">
        <f t="shared" ca="1" si="360"/>
        <v>-131.89369942359147</v>
      </c>
      <c r="I810" s="304">
        <f t="shared" ca="1" si="361"/>
        <v>132.10334089978096</v>
      </c>
      <c r="J810" s="306">
        <f t="shared" ca="1" si="362"/>
        <v>515.22511340180665</v>
      </c>
      <c r="K810" s="307">
        <f t="shared" ca="1" si="363"/>
        <v>-3.817690626550541</v>
      </c>
      <c r="L810" s="304">
        <f t="shared" ca="1" si="348"/>
        <v>515.23925727920277</v>
      </c>
      <c r="M810" s="306">
        <f t="shared" ca="1" si="364"/>
        <v>-1.5144514865033354</v>
      </c>
      <c r="N810" s="304">
        <f t="shared" ca="1" si="365"/>
        <v>-86.771678453954877</v>
      </c>
      <c r="P810" s="310">
        <f t="shared" ca="1" si="366"/>
        <v>23</v>
      </c>
      <c r="Q810" s="304">
        <f t="shared" ca="1" si="367"/>
        <v>0</v>
      </c>
      <c r="R810" s="306">
        <f t="shared" ca="1" si="368"/>
        <v>0</v>
      </c>
      <c r="S810" s="307">
        <f t="shared" ca="1" si="369"/>
        <v>7.4819999999999904</v>
      </c>
      <c r="T810" s="304">
        <f t="shared" ca="1" si="349"/>
        <v>73.398419999999916</v>
      </c>
      <c r="U810" s="311">
        <f t="shared" ca="1" si="350"/>
        <v>0</v>
      </c>
      <c r="V810" s="306">
        <f t="shared" ca="1" si="351"/>
        <v>1.2254677563892116</v>
      </c>
      <c r="W810" s="304">
        <f t="shared" ca="1" si="352"/>
        <v>56.538514632622785</v>
      </c>
      <c r="Y810" s="314" t="str">
        <f t="shared" ca="1" si="370"/>
        <v/>
      </c>
      <c r="Z810" s="315" t="str">
        <f t="shared" ca="1" si="371"/>
        <v/>
      </c>
      <c r="AA810" s="316" t="str">
        <f t="shared" ca="1" si="372"/>
        <v/>
      </c>
      <c r="AC810" s="310" t="e">
        <f t="shared" ca="1" si="373"/>
        <v>#N/A</v>
      </c>
      <c r="AD810" s="323" t="e">
        <f t="shared" ca="1" si="374"/>
        <v>#N/A</v>
      </c>
      <c r="AE810" s="324" t="e">
        <f t="shared" ca="1" si="353"/>
        <v>#N/A</v>
      </c>
      <c r="AG810" s="306">
        <f t="shared" ca="1" si="375"/>
        <v>2.2378628839270025</v>
      </c>
      <c r="AH810" s="304">
        <f t="shared" ca="1" si="376"/>
        <v>-7.5565688996456046</v>
      </c>
    </row>
    <row r="811" spans="1:34" x14ac:dyDescent="0.2">
      <c r="A811" s="347">
        <f t="shared" ca="1" si="354"/>
        <v>1E-4</v>
      </c>
      <c r="B811" s="304">
        <f t="shared" ca="1" si="355"/>
        <v>37.707000000000455</v>
      </c>
      <c r="D811" s="306">
        <f t="shared" ca="1" si="356"/>
        <v>-0.42555041976204872</v>
      </c>
      <c r="E811" s="307">
        <f t="shared" ca="1" si="357"/>
        <v>-2.2653874895928299</v>
      </c>
      <c r="F811" s="304">
        <f t="shared" ca="1" si="358"/>
        <v>2.3050105504668217</v>
      </c>
      <c r="G811" s="306">
        <f t="shared" ca="1" si="359"/>
        <v>7.4393612680510861</v>
      </c>
      <c r="H811" s="307">
        <f t="shared" ca="1" si="360"/>
        <v>-131.89392596234043</v>
      </c>
      <c r="I811" s="304">
        <f t="shared" ca="1" si="361"/>
        <v>132.10356468254716</v>
      </c>
      <c r="J811" s="306">
        <f t="shared" ca="1" si="362"/>
        <v>515.22511340180665</v>
      </c>
      <c r="K811" s="307">
        <f t="shared" ca="1" si="363"/>
        <v>-3.8308800078198377</v>
      </c>
      <c r="L811" s="304">
        <f t="shared" ca="1" si="348"/>
        <v>515.23935517537757</v>
      </c>
      <c r="M811" s="306">
        <f t="shared" ca="1" si="364"/>
        <v>-1.5144519046983036</v>
      </c>
      <c r="N811" s="304">
        <f t="shared" ca="1" si="365"/>
        <v>-86.771702414761563</v>
      </c>
      <c r="P811" s="310">
        <f t="shared" ca="1" si="366"/>
        <v>23</v>
      </c>
      <c r="Q811" s="304">
        <f t="shared" ca="1" si="367"/>
        <v>0</v>
      </c>
      <c r="R811" s="306">
        <f t="shared" ca="1" si="368"/>
        <v>0</v>
      </c>
      <c r="S811" s="307">
        <f t="shared" ca="1" si="369"/>
        <v>7.4819999999999904</v>
      </c>
      <c r="T811" s="304">
        <f t="shared" ca="1" si="349"/>
        <v>73.398419999999916</v>
      </c>
      <c r="U811" s="311">
        <f t="shared" ca="1" si="350"/>
        <v>0</v>
      </c>
      <c r="V811" s="306">
        <f t="shared" ca="1" si="351"/>
        <v>1.2254693727064838</v>
      </c>
      <c r="W811" s="304">
        <f t="shared" ca="1" si="352"/>
        <v>56.538780756128695</v>
      </c>
      <c r="Y811" s="314" t="str">
        <f t="shared" ca="1" si="370"/>
        <v/>
      </c>
      <c r="Z811" s="315" t="str">
        <f t="shared" ca="1" si="371"/>
        <v/>
      </c>
      <c r="AA811" s="316" t="str">
        <f t="shared" ca="1" si="372"/>
        <v/>
      </c>
      <c r="AC811" s="310" t="e">
        <f t="shared" ca="1" si="373"/>
        <v>#N/A</v>
      </c>
      <c r="AD811" s="323" t="e">
        <f t="shared" ca="1" si="374"/>
        <v>#N/A</v>
      </c>
      <c r="AE811" s="324" t="e">
        <f t="shared" ca="1" si="353"/>
        <v>#N/A</v>
      </c>
      <c r="AG811" s="306">
        <f t="shared" ca="1" si="375"/>
        <v>2.2378275462003456</v>
      </c>
      <c r="AH811" s="304">
        <f t="shared" ca="1" si="376"/>
        <v>-7.5566044684072251</v>
      </c>
    </row>
    <row r="812" spans="1:34" x14ac:dyDescent="0.2">
      <c r="A812" s="347">
        <f t="shared" ca="1" si="354"/>
        <v>1E-4</v>
      </c>
      <c r="B812" s="304">
        <f t="shared" ca="1" si="355"/>
        <v>37.707100000000459</v>
      </c>
      <c r="D812" s="306">
        <f t="shared" ca="1" si="356"/>
        <v>-0.42554926766929119</v>
      </c>
      <c r="E812" s="307">
        <f t="shared" ca="1" si="357"/>
        <v>-2.26535179957654</v>
      </c>
      <c r="F812" s="304">
        <f t="shared" ca="1" si="358"/>
        <v>2.3049752612682286</v>
      </c>
      <c r="G812" s="306">
        <f t="shared" ca="1" si="359"/>
        <v>7.4393187131243188</v>
      </c>
      <c r="H812" s="307">
        <f t="shared" ca="1" si="360"/>
        <v>-131.89415249752039</v>
      </c>
      <c r="I812" s="304">
        <f t="shared" ca="1" si="361"/>
        <v>132.10378846177957</v>
      </c>
      <c r="J812" s="306">
        <f t="shared" ca="1" si="362"/>
        <v>515.22511340180665</v>
      </c>
      <c r="K812" s="307">
        <f t="shared" ca="1" si="363"/>
        <v>-3.8440694117428307</v>
      </c>
      <c r="L812" s="304">
        <f t="shared" ca="1" si="348"/>
        <v>515.23945340933165</v>
      </c>
      <c r="M812" s="306">
        <f t="shared" ca="1" si="364"/>
        <v>-1.5144523228894629</v>
      </c>
      <c r="N812" s="304">
        <f t="shared" ca="1" si="365"/>
        <v>-86.771726375350028</v>
      </c>
      <c r="P812" s="310">
        <f t="shared" ca="1" si="366"/>
        <v>23</v>
      </c>
      <c r="Q812" s="304">
        <f t="shared" ca="1" si="367"/>
        <v>0</v>
      </c>
      <c r="R812" s="306">
        <f t="shared" ca="1" si="368"/>
        <v>0</v>
      </c>
      <c r="S812" s="307">
        <f t="shared" ca="1" si="369"/>
        <v>7.4819999999999904</v>
      </c>
      <c r="T812" s="304">
        <f t="shared" ca="1" si="349"/>
        <v>73.398419999999916</v>
      </c>
      <c r="U812" s="311">
        <f t="shared" ca="1" si="350"/>
        <v>0</v>
      </c>
      <c r="V812" s="306">
        <f t="shared" ca="1" si="351"/>
        <v>1.2254709890286644</v>
      </c>
      <c r="W812" s="304">
        <f t="shared" ca="1" si="352"/>
        <v>56.539046877666003</v>
      </c>
      <c r="Y812" s="314" t="str">
        <f t="shared" ca="1" si="370"/>
        <v/>
      </c>
      <c r="Z812" s="315" t="str">
        <f t="shared" ca="1" si="371"/>
        <v/>
      </c>
      <c r="AA812" s="316" t="str">
        <f t="shared" ca="1" si="372"/>
        <v/>
      </c>
      <c r="AC812" s="310" t="e">
        <f t="shared" ca="1" si="373"/>
        <v>#N/A</v>
      </c>
      <c r="AD812" s="323" t="e">
        <f t="shared" ca="1" si="374"/>
        <v>#N/A</v>
      </c>
      <c r="AE812" s="324" t="e">
        <f t="shared" ca="1" si="353"/>
        <v>#N/A</v>
      </c>
      <c r="AG812" s="306">
        <f t="shared" ca="1" si="375"/>
        <v>2.2377922087329738</v>
      </c>
      <c r="AH812" s="304">
        <f t="shared" ca="1" si="376"/>
        <v>-7.5566400369057432</v>
      </c>
    </row>
    <row r="813" spans="1:34" x14ac:dyDescent="0.2">
      <c r="A813" s="347">
        <f t="shared" ca="1" si="354"/>
        <v>1E-4</v>
      </c>
      <c r="B813" s="304">
        <f t="shared" ca="1" si="355"/>
        <v>37.707200000000462</v>
      </c>
      <c r="D813" s="306">
        <f t="shared" ca="1" si="356"/>
        <v>-0.42554811556067768</v>
      </c>
      <c r="E813" s="307">
        <f t="shared" ca="1" si="357"/>
        <v>-2.2653161098242096</v>
      </c>
      <c r="F813" s="304">
        <f t="shared" ca="1" si="358"/>
        <v>2.3049399723390485</v>
      </c>
      <c r="G813" s="306">
        <f t="shared" ca="1" si="359"/>
        <v>7.4392761583127625</v>
      </c>
      <c r="H813" s="307">
        <f t="shared" ca="1" si="360"/>
        <v>-131.89437902913139</v>
      </c>
      <c r="I813" s="304">
        <f t="shared" ca="1" si="361"/>
        <v>132.10401223747829</v>
      </c>
      <c r="J813" s="306">
        <f t="shared" ca="1" si="362"/>
        <v>515.22511340180665</v>
      </c>
      <c r="K813" s="307">
        <f t="shared" ca="1" si="363"/>
        <v>-3.8572588383191633</v>
      </c>
      <c r="L813" s="304">
        <f t="shared" ca="1" si="348"/>
        <v>515.23955198106671</v>
      </c>
      <c r="M813" s="306">
        <f t="shared" ca="1" si="364"/>
        <v>-1.5144527410768134</v>
      </c>
      <c r="N813" s="304">
        <f t="shared" ca="1" si="365"/>
        <v>-86.771750335720256</v>
      </c>
      <c r="P813" s="310">
        <f t="shared" ca="1" si="366"/>
        <v>23</v>
      </c>
      <c r="Q813" s="304">
        <f t="shared" ca="1" si="367"/>
        <v>0</v>
      </c>
      <c r="R813" s="306">
        <f t="shared" ca="1" si="368"/>
        <v>0</v>
      </c>
      <c r="S813" s="307">
        <f t="shared" ca="1" si="369"/>
        <v>7.4819999999999904</v>
      </c>
      <c r="T813" s="304">
        <f t="shared" ca="1" si="349"/>
        <v>73.398419999999916</v>
      </c>
      <c r="U813" s="311">
        <f t="shared" ca="1" si="350"/>
        <v>0</v>
      </c>
      <c r="V813" s="306">
        <f t="shared" ca="1" si="351"/>
        <v>1.2254726053557534</v>
      </c>
      <c r="W813" s="304">
        <f t="shared" ca="1" si="352"/>
        <v>56.539312997234752</v>
      </c>
      <c r="Y813" s="314" t="str">
        <f t="shared" ca="1" si="370"/>
        <v/>
      </c>
      <c r="Z813" s="315" t="str">
        <f t="shared" ca="1" si="371"/>
        <v/>
      </c>
      <c r="AA813" s="316" t="str">
        <f t="shared" ca="1" si="372"/>
        <v/>
      </c>
      <c r="AC813" s="310" t="e">
        <f t="shared" ca="1" si="373"/>
        <v>#N/A</v>
      </c>
      <c r="AD813" s="323" t="e">
        <f t="shared" ca="1" si="374"/>
        <v>#N/A</v>
      </c>
      <c r="AE813" s="324" t="e">
        <f t="shared" ca="1" si="353"/>
        <v>#N/A</v>
      </c>
      <c r="AG813" s="306">
        <f t="shared" ca="1" si="375"/>
        <v>2.2377568715248985</v>
      </c>
      <c r="AH813" s="304">
        <f t="shared" ca="1" si="376"/>
        <v>-7.556675605141149</v>
      </c>
    </row>
    <row r="814" spans="1:34" x14ac:dyDescent="0.2">
      <c r="A814" s="347">
        <f t="shared" ca="1" si="354"/>
        <v>1E-4</v>
      </c>
      <c r="B814" s="304">
        <f t="shared" ca="1" si="355"/>
        <v>37.707300000000465</v>
      </c>
      <c r="D814" s="306">
        <f t="shared" ca="1" si="356"/>
        <v>-0.42554696343620768</v>
      </c>
      <c r="E814" s="307">
        <f t="shared" ca="1" si="357"/>
        <v>-2.2652804203358325</v>
      </c>
      <c r="F814" s="304">
        <f t="shared" ca="1" si="358"/>
        <v>2.3049046836792759</v>
      </c>
      <c r="G814" s="306">
        <f t="shared" ca="1" si="359"/>
        <v>7.4392336036164188</v>
      </c>
      <c r="H814" s="307">
        <f t="shared" ca="1" si="360"/>
        <v>-131.89460555717341</v>
      </c>
      <c r="I814" s="304">
        <f t="shared" ca="1" si="361"/>
        <v>132.1042360096433</v>
      </c>
      <c r="J814" s="306">
        <f t="shared" ca="1" si="362"/>
        <v>515.22511340180665</v>
      </c>
      <c r="K814" s="307">
        <f t="shared" ca="1" si="363"/>
        <v>-3.8704482875484785</v>
      </c>
      <c r="L814" s="304">
        <f t="shared" ca="1" si="348"/>
        <v>515.23965089058424</v>
      </c>
      <c r="M814" s="306">
        <f t="shared" ca="1" si="364"/>
        <v>-1.5144531592603547</v>
      </c>
      <c r="N814" s="304">
        <f t="shared" ca="1" si="365"/>
        <v>-86.771774295872234</v>
      </c>
      <c r="P814" s="310">
        <f t="shared" ca="1" si="366"/>
        <v>23</v>
      </c>
      <c r="Q814" s="304">
        <f t="shared" ca="1" si="367"/>
        <v>0</v>
      </c>
      <c r="R814" s="306">
        <f t="shared" ca="1" si="368"/>
        <v>0</v>
      </c>
      <c r="S814" s="307">
        <f t="shared" ca="1" si="369"/>
        <v>7.4819999999999904</v>
      </c>
      <c r="T814" s="304">
        <f t="shared" ca="1" si="349"/>
        <v>73.398419999999916</v>
      </c>
      <c r="U814" s="311">
        <f t="shared" ca="1" si="350"/>
        <v>0</v>
      </c>
      <c r="V814" s="306">
        <f t="shared" ca="1" si="351"/>
        <v>1.2254742216877506</v>
      </c>
      <c r="W814" s="304">
        <f t="shared" ca="1" si="352"/>
        <v>56.539579114834901</v>
      </c>
      <c r="Y814" s="314" t="str">
        <f t="shared" ca="1" si="370"/>
        <v/>
      </c>
      <c r="Z814" s="315" t="str">
        <f t="shared" ca="1" si="371"/>
        <v/>
      </c>
      <c r="AA814" s="316" t="str">
        <f t="shared" ca="1" si="372"/>
        <v/>
      </c>
      <c r="AC814" s="310" t="e">
        <f t="shared" ca="1" si="373"/>
        <v>#N/A</v>
      </c>
      <c r="AD814" s="323" t="e">
        <f t="shared" ca="1" si="374"/>
        <v>#N/A</v>
      </c>
      <c r="AE814" s="324" t="e">
        <f t="shared" ca="1" si="353"/>
        <v>#N/A</v>
      </c>
      <c r="AG814" s="306">
        <f t="shared" ca="1" si="375"/>
        <v>2.2377215345761101</v>
      </c>
      <c r="AH814" s="304">
        <f t="shared" ca="1" si="376"/>
        <v>-7.5567111731134489</v>
      </c>
    </row>
    <row r="815" spans="1:34" x14ac:dyDescent="0.2">
      <c r="A815" s="347">
        <f t="shared" ca="1" si="354"/>
        <v>1E-4</v>
      </c>
      <c r="B815" s="304">
        <f t="shared" ca="1" si="355"/>
        <v>37.707400000000469</v>
      </c>
      <c r="D815" s="306">
        <f t="shared" ca="1" si="356"/>
        <v>-0.42554581129588487</v>
      </c>
      <c r="E815" s="307">
        <f t="shared" ca="1" si="357"/>
        <v>-2.265244731111415</v>
      </c>
      <c r="F815" s="304">
        <f t="shared" ca="1" si="358"/>
        <v>2.3048693952889172</v>
      </c>
      <c r="G815" s="306">
        <f t="shared" ca="1" si="359"/>
        <v>7.4391910490352888</v>
      </c>
      <c r="H815" s="307">
        <f t="shared" ca="1" si="360"/>
        <v>-131.89483208164651</v>
      </c>
      <c r="I815" s="304">
        <f t="shared" ca="1" si="361"/>
        <v>132.10445977827462</v>
      </c>
      <c r="J815" s="306">
        <f t="shared" ca="1" si="362"/>
        <v>515.22511340180665</v>
      </c>
      <c r="K815" s="307">
        <f t="shared" ca="1" si="363"/>
        <v>-3.8836377594304197</v>
      </c>
      <c r="L815" s="304">
        <f t="shared" ca="1" si="348"/>
        <v>515.23975013788584</v>
      </c>
      <c r="M815" s="306">
        <f t="shared" ca="1" si="364"/>
        <v>-1.5144535774400876</v>
      </c>
      <c r="N815" s="304">
        <f t="shared" ca="1" si="365"/>
        <v>-86.771798255806004</v>
      </c>
      <c r="P815" s="310">
        <f t="shared" ca="1" si="366"/>
        <v>23</v>
      </c>
      <c r="Q815" s="304">
        <f t="shared" ca="1" si="367"/>
        <v>0</v>
      </c>
      <c r="R815" s="306">
        <f t="shared" ca="1" si="368"/>
        <v>0</v>
      </c>
      <c r="S815" s="307">
        <f t="shared" ca="1" si="369"/>
        <v>7.4819999999999904</v>
      </c>
      <c r="T815" s="304">
        <f t="shared" ca="1" si="349"/>
        <v>73.398419999999916</v>
      </c>
      <c r="U815" s="311">
        <f t="shared" ca="1" si="350"/>
        <v>0</v>
      </c>
      <c r="V815" s="306">
        <f t="shared" ca="1" si="351"/>
        <v>1.2254758380246564</v>
      </c>
      <c r="W815" s="304">
        <f t="shared" ca="1" si="352"/>
        <v>56.539845230466462</v>
      </c>
      <c r="Y815" s="314" t="str">
        <f t="shared" ca="1" si="370"/>
        <v/>
      </c>
      <c r="Z815" s="315" t="str">
        <f t="shared" ca="1" si="371"/>
        <v/>
      </c>
      <c r="AA815" s="316" t="str">
        <f t="shared" ca="1" si="372"/>
        <v/>
      </c>
      <c r="AC815" s="310" t="e">
        <f t="shared" ca="1" si="373"/>
        <v>#N/A</v>
      </c>
      <c r="AD815" s="323" t="e">
        <f t="shared" ca="1" si="374"/>
        <v>#N/A</v>
      </c>
      <c r="AE815" s="324" t="e">
        <f t="shared" ca="1" si="353"/>
        <v>#N/A</v>
      </c>
      <c r="AG815" s="306">
        <f t="shared" ca="1" si="375"/>
        <v>2.2376861978866156</v>
      </c>
      <c r="AH815" s="304">
        <f t="shared" ca="1" si="376"/>
        <v>-7.5567467408226374</v>
      </c>
    </row>
    <row r="816" spans="1:34" x14ac:dyDescent="0.2">
      <c r="A816" s="347">
        <f t="shared" ca="1" si="354"/>
        <v>1E-4</v>
      </c>
      <c r="B816" s="304">
        <f t="shared" ca="1" si="355"/>
        <v>37.707500000000472</v>
      </c>
      <c r="D816" s="306">
        <f t="shared" ca="1" si="356"/>
        <v>-0.42554465913970513</v>
      </c>
      <c r="E816" s="307">
        <f t="shared" ca="1" si="357"/>
        <v>-2.2652090421509534</v>
      </c>
      <c r="F816" s="304">
        <f t="shared" ca="1" si="358"/>
        <v>2.3048341071679688</v>
      </c>
      <c r="G816" s="306">
        <f t="shared" ca="1" si="359"/>
        <v>7.4391484945693751</v>
      </c>
      <c r="H816" s="307">
        <f t="shared" ca="1" si="360"/>
        <v>-131.89505860255073</v>
      </c>
      <c r="I816" s="304">
        <f t="shared" ca="1" si="361"/>
        <v>132.10468354337232</v>
      </c>
      <c r="J816" s="306">
        <f t="shared" ca="1" si="362"/>
        <v>515.22511340180665</v>
      </c>
      <c r="K816" s="307">
        <f t="shared" ca="1" si="363"/>
        <v>-3.8968272539646294</v>
      </c>
      <c r="L816" s="304">
        <f t="shared" ca="1" si="348"/>
        <v>515.23984972297296</v>
      </c>
      <c r="M816" s="306">
        <f t="shared" ca="1" si="364"/>
        <v>-1.5144539956160112</v>
      </c>
      <c r="N816" s="304">
        <f t="shared" ca="1" si="365"/>
        <v>-86.771822215521524</v>
      </c>
      <c r="P816" s="310">
        <f t="shared" ca="1" si="366"/>
        <v>23</v>
      </c>
      <c r="Q816" s="304">
        <f t="shared" ca="1" si="367"/>
        <v>0</v>
      </c>
      <c r="R816" s="306">
        <f t="shared" ca="1" si="368"/>
        <v>0</v>
      </c>
      <c r="S816" s="307">
        <f t="shared" ca="1" si="369"/>
        <v>7.4819999999999904</v>
      </c>
      <c r="T816" s="304">
        <f t="shared" ca="1" si="349"/>
        <v>73.398419999999916</v>
      </c>
      <c r="U816" s="311">
        <f t="shared" ca="1" si="350"/>
        <v>0</v>
      </c>
      <c r="V816" s="306">
        <f t="shared" ca="1" si="351"/>
        <v>1.2254774543664702</v>
      </c>
      <c r="W816" s="304">
        <f t="shared" ca="1" si="352"/>
        <v>56.54011134412945</v>
      </c>
      <c r="Y816" s="314" t="str">
        <f t="shared" ca="1" si="370"/>
        <v/>
      </c>
      <c r="Z816" s="315" t="str">
        <f t="shared" ca="1" si="371"/>
        <v/>
      </c>
      <c r="AA816" s="316" t="str">
        <f t="shared" ca="1" si="372"/>
        <v/>
      </c>
      <c r="AC816" s="310" t="e">
        <f t="shared" ca="1" si="373"/>
        <v>#N/A</v>
      </c>
      <c r="AD816" s="323" t="e">
        <f t="shared" ca="1" si="374"/>
        <v>#N/A</v>
      </c>
      <c r="AE816" s="324" t="e">
        <f t="shared" ca="1" si="353"/>
        <v>#N/A</v>
      </c>
      <c r="AG816" s="306">
        <f t="shared" ca="1" si="375"/>
        <v>2.2376508614564168</v>
      </c>
      <c r="AH816" s="304">
        <f t="shared" ca="1" si="376"/>
        <v>-7.5567823082687164</v>
      </c>
    </row>
    <row r="817" spans="1:34" x14ac:dyDescent="0.2">
      <c r="A817" s="347">
        <f t="shared" ca="1" si="354"/>
        <v>1E-4</v>
      </c>
      <c r="B817" s="304">
        <f t="shared" ca="1" si="355"/>
        <v>37.707600000000475</v>
      </c>
      <c r="D817" s="306">
        <f t="shared" ca="1" si="356"/>
        <v>-0.42554350696767429</v>
      </c>
      <c r="E817" s="307">
        <f t="shared" ca="1" si="357"/>
        <v>-2.2651733534544487</v>
      </c>
      <c r="F817" s="304">
        <f t="shared" ca="1" si="358"/>
        <v>2.3047988193164319</v>
      </c>
      <c r="G817" s="306">
        <f t="shared" ca="1" si="359"/>
        <v>7.4391059402186785</v>
      </c>
      <c r="H817" s="307">
        <f t="shared" ca="1" si="360"/>
        <v>-131.89528511988607</v>
      </c>
      <c r="I817" s="304">
        <f t="shared" ca="1" si="361"/>
        <v>132.10490730493638</v>
      </c>
      <c r="J817" s="306">
        <f t="shared" ca="1" si="362"/>
        <v>515.22511340180665</v>
      </c>
      <c r="K817" s="307">
        <f t="shared" ca="1" si="363"/>
        <v>-3.9100167711507514</v>
      </c>
      <c r="L817" s="304">
        <f t="shared" ca="1" si="348"/>
        <v>515.23994964584722</v>
      </c>
      <c r="M817" s="306">
        <f t="shared" ca="1" si="364"/>
        <v>-1.5144544137881264</v>
      </c>
      <c r="N817" s="304">
        <f t="shared" ca="1" si="365"/>
        <v>-86.771846175018837</v>
      </c>
      <c r="P817" s="310">
        <f t="shared" ca="1" si="366"/>
        <v>23</v>
      </c>
      <c r="Q817" s="304">
        <f t="shared" ca="1" si="367"/>
        <v>0</v>
      </c>
      <c r="R817" s="306">
        <f t="shared" ca="1" si="368"/>
        <v>0</v>
      </c>
      <c r="S817" s="307">
        <f t="shared" ca="1" si="369"/>
        <v>7.4819999999999904</v>
      </c>
      <c r="T817" s="304">
        <f t="shared" ca="1" si="349"/>
        <v>73.398419999999916</v>
      </c>
      <c r="U817" s="311">
        <f t="shared" ca="1" si="350"/>
        <v>0</v>
      </c>
      <c r="V817" s="306">
        <f t="shared" ca="1" si="351"/>
        <v>1.2254790707131924</v>
      </c>
      <c r="W817" s="304">
        <f t="shared" ca="1" si="352"/>
        <v>56.540377455823823</v>
      </c>
      <c r="Y817" s="314" t="str">
        <f t="shared" ca="1" si="370"/>
        <v/>
      </c>
      <c r="Z817" s="315" t="str">
        <f t="shared" ca="1" si="371"/>
        <v/>
      </c>
      <c r="AA817" s="316" t="str">
        <f t="shared" ca="1" si="372"/>
        <v/>
      </c>
      <c r="AC817" s="310" t="e">
        <f t="shared" ca="1" si="373"/>
        <v>#N/A</v>
      </c>
      <c r="AD817" s="323" t="e">
        <f t="shared" ca="1" si="374"/>
        <v>#N/A</v>
      </c>
      <c r="AE817" s="324" t="e">
        <f t="shared" ca="1" si="353"/>
        <v>#N/A</v>
      </c>
      <c r="AG817" s="306">
        <f t="shared" ca="1" si="375"/>
        <v>2.2376155252855074</v>
      </c>
      <c r="AH817" s="304">
        <f t="shared" ca="1" si="376"/>
        <v>-7.5568178754516868</v>
      </c>
    </row>
    <row r="818" spans="1:34" x14ac:dyDescent="0.2">
      <c r="A818" s="347">
        <f t="shared" ca="1" si="354"/>
        <v>1E-4</v>
      </c>
      <c r="B818" s="304">
        <f t="shared" ca="1" si="355"/>
        <v>37.707700000000479</v>
      </c>
      <c r="D818" s="306">
        <f t="shared" ca="1" si="356"/>
        <v>-0.42554235477978775</v>
      </c>
      <c r="E818" s="307">
        <f t="shared" ca="1" si="357"/>
        <v>-2.2651376650219044</v>
      </c>
      <c r="F818" s="304">
        <f t="shared" ca="1" si="358"/>
        <v>2.3047635317343103</v>
      </c>
      <c r="G818" s="306">
        <f t="shared" ca="1" si="359"/>
        <v>7.4390633859832009</v>
      </c>
      <c r="H818" s="307">
        <f t="shared" ca="1" si="360"/>
        <v>-131.89551163365257</v>
      </c>
      <c r="I818" s="304">
        <f t="shared" ca="1" si="361"/>
        <v>132.1051310629669</v>
      </c>
      <c r="J818" s="306">
        <f t="shared" ca="1" si="362"/>
        <v>515.22511340180665</v>
      </c>
      <c r="K818" s="307">
        <f t="shared" ca="1" si="363"/>
        <v>-3.9232063109884283</v>
      </c>
      <c r="L818" s="304">
        <f t="shared" ca="1" si="348"/>
        <v>515.24004990651019</v>
      </c>
      <c r="M818" s="306">
        <f t="shared" ca="1" si="364"/>
        <v>-1.514454831956433</v>
      </c>
      <c r="N818" s="304">
        <f t="shared" ca="1" si="365"/>
        <v>-86.771870134297927</v>
      </c>
      <c r="P818" s="310">
        <f t="shared" ca="1" si="366"/>
        <v>23</v>
      </c>
      <c r="Q818" s="304">
        <f t="shared" ca="1" si="367"/>
        <v>0</v>
      </c>
      <c r="R818" s="306">
        <f t="shared" ca="1" si="368"/>
        <v>0</v>
      </c>
      <c r="S818" s="307">
        <f t="shared" ca="1" si="369"/>
        <v>7.4819999999999904</v>
      </c>
      <c r="T818" s="304">
        <f t="shared" ca="1" si="349"/>
        <v>73.398419999999916</v>
      </c>
      <c r="U818" s="311">
        <f t="shared" ca="1" si="350"/>
        <v>0</v>
      </c>
      <c r="V818" s="306">
        <f t="shared" ca="1" si="351"/>
        <v>1.2254806870648225</v>
      </c>
      <c r="W818" s="304">
        <f t="shared" ca="1" si="352"/>
        <v>56.540643565549644</v>
      </c>
      <c r="Y818" s="314" t="str">
        <f t="shared" ca="1" si="370"/>
        <v/>
      </c>
      <c r="Z818" s="315" t="str">
        <f t="shared" ca="1" si="371"/>
        <v/>
      </c>
      <c r="AA818" s="316" t="str">
        <f t="shared" ca="1" si="372"/>
        <v/>
      </c>
      <c r="AC818" s="310" t="e">
        <f t="shared" ca="1" si="373"/>
        <v>#N/A</v>
      </c>
      <c r="AD818" s="323" t="e">
        <f t="shared" ca="1" si="374"/>
        <v>#N/A</v>
      </c>
      <c r="AE818" s="324" t="e">
        <f t="shared" ca="1" si="353"/>
        <v>#N/A</v>
      </c>
      <c r="AG818" s="306">
        <f t="shared" ca="1" si="375"/>
        <v>2.237580189373892</v>
      </c>
      <c r="AH818" s="304">
        <f t="shared" ca="1" si="376"/>
        <v>-7.5568534423715441</v>
      </c>
    </row>
    <row r="819" spans="1:34" x14ac:dyDescent="0.2">
      <c r="A819" s="347">
        <f t="shared" ca="1" si="354"/>
        <v>1E-4</v>
      </c>
      <c r="B819" s="304">
        <f t="shared" ca="1" si="355"/>
        <v>37.707800000000482</v>
      </c>
      <c r="D819" s="306">
        <f t="shared" ca="1" si="356"/>
        <v>-0.42554120257604677</v>
      </c>
      <c r="E819" s="307">
        <f t="shared" ca="1" si="357"/>
        <v>-2.2651019768533125</v>
      </c>
      <c r="F819" s="304">
        <f t="shared" ca="1" si="358"/>
        <v>2.3047282444215962</v>
      </c>
      <c r="G819" s="306">
        <f t="shared" ca="1" si="359"/>
        <v>7.4390208318629432</v>
      </c>
      <c r="H819" s="307">
        <f t="shared" ca="1" si="360"/>
        <v>-131.89573814385025</v>
      </c>
      <c r="I819" s="304">
        <f t="shared" ca="1" si="361"/>
        <v>132.10535481746379</v>
      </c>
      <c r="J819" s="306">
        <f t="shared" ca="1" si="362"/>
        <v>515.22511340180665</v>
      </c>
      <c r="K819" s="307">
        <f t="shared" ca="1" si="363"/>
        <v>-3.9363958734773035</v>
      </c>
      <c r="L819" s="304">
        <f t="shared" ca="1" si="348"/>
        <v>515.24015050496337</v>
      </c>
      <c r="M819" s="306">
        <f t="shared" ca="1" si="364"/>
        <v>-1.5144552501209307</v>
      </c>
      <c r="N819" s="304">
        <f t="shared" ca="1" si="365"/>
        <v>-86.771894093358782</v>
      </c>
      <c r="P819" s="310">
        <f t="shared" ca="1" si="366"/>
        <v>23</v>
      </c>
      <c r="Q819" s="304">
        <f t="shared" ca="1" si="367"/>
        <v>0</v>
      </c>
      <c r="R819" s="306">
        <f t="shared" ca="1" si="368"/>
        <v>0</v>
      </c>
      <c r="S819" s="307">
        <f t="shared" ca="1" si="369"/>
        <v>7.4819999999999904</v>
      </c>
      <c r="T819" s="304">
        <f t="shared" ca="1" si="349"/>
        <v>73.398419999999916</v>
      </c>
      <c r="U819" s="311">
        <f t="shared" ca="1" si="350"/>
        <v>0</v>
      </c>
      <c r="V819" s="306">
        <f t="shared" ca="1" si="351"/>
        <v>1.2254823034213607</v>
      </c>
      <c r="W819" s="304">
        <f t="shared" ca="1" si="352"/>
        <v>56.5409096733068</v>
      </c>
      <c r="Y819" s="314" t="str">
        <f t="shared" ca="1" si="370"/>
        <v/>
      </c>
      <c r="Z819" s="315" t="str">
        <f t="shared" ca="1" si="371"/>
        <v/>
      </c>
      <c r="AA819" s="316" t="str">
        <f t="shared" ca="1" si="372"/>
        <v/>
      </c>
      <c r="AC819" s="310" t="e">
        <f t="shared" ca="1" si="373"/>
        <v>#N/A</v>
      </c>
      <c r="AD819" s="323" t="e">
        <f t="shared" ca="1" si="374"/>
        <v>#N/A</v>
      </c>
      <c r="AE819" s="324" t="e">
        <f t="shared" ca="1" si="353"/>
        <v>#N/A</v>
      </c>
      <c r="AG819" s="306">
        <f t="shared" ca="1" si="375"/>
        <v>2.2375448537215696</v>
      </c>
      <c r="AH819" s="304">
        <f t="shared" ca="1" si="376"/>
        <v>-7.5568890090282963</v>
      </c>
    </row>
    <row r="820" spans="1:34" x14ac:dyDescent="0.2">
      <c r="A820" s="347">
        <f t="shared" ca="1" si="354"/>
        <v>1E-4</v>
      </c>
      <c r="B820" s="304">
        <f t="shared" ca="1" si="355"/>
        <v>37.707900000000485</v>
      </c>
      <c r="D820" s="306">
        <f t="shared" ca="1" si="356"/>
        <v>-0.42554005035645459</v>
      </c>
      <c r="E820" s="307">
        <f t="shared" ca="1" si="357"/>
        <v>-2.2650662889486881</v>
      </c>
      <c r="F820" s="304">
        <f t="shared" ca="1" si="358"/>
        <v>2.3046929573783044</v>
      </c>
      <c r="G820" s="306">
        <f t="shared" ca="1" si="359"/>
        <v>7.4389782778579079</v>
      </c>
      <c r="H820" s="307">
        <f t="shared" ca="1" si="360"/>
        <v>-131.89596465047916</v>
      </c>
      <c r="I820" s="304">
        <f t="shared" ca="1" si="361"/>
        <v>132.10557856842721</v>
      </c>
      <c r="J820" s="306">
        <f t="shared" ca="1" si="362"/>
        <v>515.22511340180665</v>
      </c>
      <c r="K820" s="307">
        <f t="shared" ca="1" si="363"/>
        <v>-3.9495854586170198</v>
      </c>
      <c r="L820" s="304">
        <f t="shared" ca="1" si="348"/>
        <v>515.24025144120822</v>
      </c>
      <c r="M820" s="306">
        <f t="shared" ca="1" si="364"/>
        <v>-1.5144556682816201</v>
      </c>
      <c r="N820" s="304">
        <f t="shared" ca="1" si="365"/>
        <v>-86.771918052201457</v>
      </c>
      <c r="P820" s="310">
        <f t="shared" ca="1" si="366"/>
        <v>23</v>
      </c>
      <c r="Q820" s="304">
        <f t="shared" ca="1" si="367"/>
        <v>0</v>
      </c>
      <c r="R820" s="306">
        <f t="shared" ca="1" si="368"/>
        <v>0</v>
      </c>
      <c r="S820" s="307">
        <f t="shared" ca="1" si="369"/>
        <v>7.4819999999999904</v>
      </c>
      <c r="T820" s="304">
        <f t="shared" ca="1" si="349"/>
        <v>73.398419999999916</v>
      </c>
      <c r="U820" s="311">
        <f t="shared" ca="1" si="350"/>
        <v>0</v>
      </c>
      <c r="V820" s="306">
        <f t="shared" ca="1" si="351"/>
        <v>1.2254839197828076</v>
      </c>
      <c r="W820" s="304">
        <f t="shared" ca="1" si="352"/>
        <v>56.54117577909544</v>
      </c>
      <c r="Y820" s="314" t="str">
        <f t="shared" ca="1" si="370"/>
        <v/>
      </c>
      <c r="Z820" s="315" t="str">
        <f t="shared" ca="1" si="371"/>
        <v/>
      </c>
      <c r="AA820" s="316" t="str">
        <f t="shared" ca="1" si="372"/>
        <v/>
      </c>
      <c r="AC820" s="310" t="e">
        <f t="shared" ca="1" si="373"/>
        <v>#N/A</v>
      </c>
      <c r="AD820" s="323" t="e">
        <f t="shared" ca="1" si="374"/>
        <v>#N/A</v>
      </c>
      <c r="AE820" s="324" t="e">
        <f t="shared" ca="1" si="353"/>
        <v>#N/A</v>
      </c>
      <c r="AG820" s="306">
        <f t="shared" ca="1" si="375"/>
        <v>2.2375095183285456</v>
      </c>
      <c r="AH820" s="304">
        <f t="shared" ca="1" si="376"/>
        <v>-7.5569245754219292</v>
      </c>
    </row>
    <row r="821" spans="1:34" x14ac:dyDescent="0.2">
      <c r="A821" s="347">
        <f t="shared" ca="1" si="354"/>
        <v>1E-4</v>
      </c>
      <c r="B821" s="304">
        <f t="shared" ca="1" si="355"/>
        <v>37.708000000000489</v>
      </c>
      <c r="D821" s="306">
        <f t="shared" ca="1" si="356"/>
        <v>-0.42553889812100792</v>
      </c>
      <c r="E821" s="307">
        <f t="shared" ca="1" si="357"/>
        <v>-2.2650306013080126</v>
      </c>
      <c r="F821" s="304">
        <f t="shared" ca="1" si="358"/>
        <v>2.3046576706044171</v>
      </c>
      <c r="G821" s="306">
        <f t="shared" ca="1" si="359"/>
        <v>7.438935723968096</v>
      </c>
      <c r="H821" s="307">
        <f t="shared" ca="1" si="360"/>
        <v>-131.89619115353929</v>
      </c>
      <c r="I821" s="304">
        <f t="shared" ca="1" si="361"/>
        <v>132.10580231585706</v>
      </c>
      <c r="J821" s="306">
        <f t="shared" ca="1" si="362"/>
        <v>515.22511340180665</v>
      </c>
      <c r="K821" s="307">
        <f t="shared" ca="1" si="363"/>
        <v>-3.9627750664072208</v>
      </c>
      <c r="L821" s="304">
        <f t="shared" ca="1" si="348"/>
        <v>515.24035271524633</v>
      </c>
      <c r="M821" s="306">
        <f t="shared" ca="1" si="364"/>
        <v>-1.5144560864385008</v>
      </c>
      <c r="N821" s="304">
        <f t="shared" ca="1" si="365"/>
        <v>-86.771942010825882</v>
      </c>
      <c r="P821" s="310">
        <f t="shared" ca="1" si="366"/>
        <v>23</v>
      </c>
      <c r="Q821" s="304">
        <f t="shared" ca="1" si="367"/>
        <v>0</v>
      </c>
      <c r="R821" s="306">
        <f t="shared" ca="1" si="368"/>
        <v>0</v>
      </c>
      <c r="S821" s="307">
        <f t="shared" ca="1" si="369"/>
        <v>7.4819999999999904</v>
      </c>
      <c r="T821" s="304">
        <f t="shared" ca="1" si="349"/>
        <v>73.398419999999916</v>
      </c>
      <c r="U821" s="311">
        <f t="shared" ca="1" si="350"/>
        <v>0</v>
      </c>
      <c r="V821" s="306">
        <f t="shared" ca="1" si="351"/>
        <v>1.2254855361491623</v>
      </c>
      <c r="W821" s="304">
        <f t="shared" ca="1" si="352"/>
        <v>56.541441882915436</v>
      </c>
      <c r="Y821" s="314" t="str">
        <f t="shared" ca="1" si="370"/>
        <v/>
      </c>
      <c r="Z821" s="315" t="str">
        <f t="shared" ca="1" si="371"/>
        <v/>
      </c>
      <c r="AA821" s="316" t="str">
        <f t="shared" ca="1" si="372"/>
        <v/>
      </c>
      <c r="AC821" s="310" t="e">
        <f t="shared" ca="1" si="373"/>
        <v>#N/A</v>
      </c>
      <c r="AD821" s="323" t="e">
        <f t="shared" ca="1" si="374"/>
        <v>#N/A</v>
      </c>
      <c r="AE821" s="324" t="e">
        <f t="shared" ca="1" si="353"/>
        <v>#N/A</v>
      </c>
      <c r="AG821" s="306">
        <f t="shared" ca="1" si="375"/>
        <v>2.2374741831948111</v>
      </c>
      <c r="AH821" s="304">
        <f t="shared" ca="1" si="376"/>
        <v>-7.5569601415524605</v>
      </c>
    </row>
    <row r="822" spans="1:34" x14ac:dyDescent="0.2">
      <c r="A822" s="347">
        <f t="shared" ca="1" si="354"/>
        <v>1E-4</v>
      </c>
      <c r="B822" s="304">
        <f t="shared" ca="1" si="355"/>
        <v>37.708100000000492</v>
      </c>
      <c r="D822" s="306">
        <f t="shared" ca="1" si="356"/>
        <v>-0.42553774586970994</v>
      </c>
      <c r="E822" s="307">
        <f t="shared" ca="1" si="357"/>
        <v>-2.264994913931301</v>
      </c>
      <c r="F822" s="304">
        <f t="shared" ca="1" si="358"/>
        <v>2.3046223840999498</v>
      </c>
      <c r="G822" s="306">
        <f t="shared" ca="1" si="359"/>
        <v>7.4388931701935093</v>
      </c>
      <c r="H822" s="307">
        <f t="shared" ca="1" si="360"/>
        <v>-131.89641765303068</v>
      </c>
      <c r="I822" s="304">
        <f t="shared" ca="1" si="361"/>
        <v>132.10602605975345</v>
      </c>
      <c r="J822" s="306">
        <f t="shared" ca="1" si="362"/>
        <v>515.22511340180665</v>
      </c>
      <c r="K822" s="307">
        <f t="shared" ca="1" si="363"/>
        <v>-3.9759646968475493</v>
      </c>
      <c r="L822" s="304">
        <f t="shared" ca="1" si="348"/>
        <v>515.24045432707931</v>
      </c>
      <c r="M822" s="306">
        <f t="shared" ca="1" si="364"/>
        <v>-1.5144565045915732</v>
      </c>
      <c r="N822" s="304">
        <f t="shared" ca="1" si="365"/>
        <v>-86.771965969232127</v>
      </c>
      <c r="P822" s="310">
        <f t="shared" ca="1" si="366"/>
        <v>23</v>
      </c>
      <c r="Q822" s="304">
        <f t="shared" ca="1" si="367"/>
        <v>0</v>
      </c>
      <c r="R822" s="306">
        <f t="shared" ca="1" si="368"/>
        <v>0</v>
      </c>
      <c r="S822" s="307">
        <f t="shared" ca="1" si="369"/>
        <v>7.4819999999999904</v>
      </c>
      <c r="T822" s="304">
        <f t="shared" ca="1" si="349"/>
        <v>73.398419999999916</v>
      </c>
      <c r="U822" s="311">
        <f t="shared" ca="1" si="350"/>
        <v>0</v>
      </c>
      <c r="V822" s="306">
        <f t="shared" ca="1" si="351"/>
        <v>1.2254871525204252</v>
      </c>
      <c r="W822" s="304">
        <f t="shared" ca="1" si="352"/>
        <v>56.541707984766838</v>
      </c>
      <c r="Y822" s="314" t="str">
        <f t="shared" ca="1" si="370"/>
        <v/>
      </c>
      <c r="Z822" s="315" t="str">
        <f t="shared" ca="1" si="371"/>
        <v/>
      </c>
      <c r="AA822" s="316" t="str">
        <f t="shared" ca="1" si="372"/>
        <v/>
      </c>
      <c r="AC822" s="310" t="e">
        <f t="shared" ca="1" si="373"/>
        <v>#N/A</v>
      </c>
      <c r="AD822" s="323" t="e">
        <f t="shared" ca="1" si="374"/>
        <v>#N/A</v>
      </c>
      <c r="AE822" s="324" t="e">
        <f t="shared" ca="1" si="353"/>
        <v>#N/A</v>
      </c>
      <c r="AG822" s="306">
        <f t="shared" ca="1" si="375"/>
        <v>2.237438848320374</v>
      </c>
      <c r="AH822" s="304">
        <f t="shared" ca="1" si="376"/>
        <v>-7.5569957074198753</v>
      </c>
    </row>
    <row r="823" spans="1:34" x14ac:dyDescent="0.2">
      <c r="A823" s="347">
        <f t="shared" ca="1" si="354"/>
        <v>1E-4</v>
      </c>
      <c r="B823" s="304">
        <f t="shared" ca="1" si="355"/>
        <v>37.708200000000495</v>
      </c>
      <c r="D823" s="306">
        <f t="shared" ca="1" si="356"/>
        <v>-0.42553659360255852</v>
      </c>
      <c r="E823" s="307">
        <f t="shared" ca="1" si="357"/>
        <v>-2.2649592268185472</v>
      </c>
      <c r="F823" s="304">
        <f t="shared" ca="1" si="358"/>
        <v>2.3045870978648955</v>
      </c>
      <c r="G823" s="306">
        <f t="shared" ca="1" si="359"/>
        <v>7.4388506165341486</v>
      </c>
      <c r="H823" s="307">
        <f t="shared" ca="1" si="360"/>
        <v>-131.89664414895336</v>
      </c>
      <c r="I823" s="304">
        <f t="shared" ca="1" si="361"/>
        <v>132.10624980011636</v>
      </c>
      <c r="J823" s="306">
        <f t="shared" ca="1" si="362"/>
        <v>515.22511340180665</v>
      </c>
      <c r="K823" s="307">
        <f t="shared" ca="1" si="363"/>
        <v>-3.9891543499376483</v>
      </c>
      <c r="L823" s="304">
        <f t="shared" ca="1" si="348"/>
        <v>515.24055627670873</v>
      </c>
      <c r="M823" s="306">
        <f t="shared" ca="1" si="364"/>
        <v>-1.5144569227408371</v>
      </c>
      <c r="N823" s="304">
        <f t="shared" ca="1" si="365"/>
        <v>-86.771989927420151</v>
      </c>
      <c r="P823" s="310">
        <f t="shared" ca="1" si="366"/>
        <v>23</v>
      </c>
      <c r="Q823" s="304">
        <f t="shared" ca="1" si="367"/>
        <v>0</v>
      </c>
      <c r="R823" s="306">
        <f t="shared" ca="1" si="368"/>
        <v>0</v>
      </c>
      <c r="S823" s="307">
        <f t="shared" ca="1" si="369"/>
        <v>7.4819999999999904</v>
      </c>
      <c r="T823" s="304">
        <f t="shared" ca="1" si="349"/>
        <v>73.398419999999916</v>
      </c>
      <c r="U823" s="311">
        <f t="shared" ca="1" si="350"/>
        <v>0</v>
      </c>
      <c r="V823" s="306">
        <f t="shared" ca="1" si="351"/>
        <v>1.2254887688965959</v>
      </c>
      <c r="W823" s="304">
        <f t="shared" ca="1" si="352"/>
        <v>56.541974084649588</v>
      </c>
      <c r="Y823" s="314" t="str">
        <f t="shared" ca="1" si="370"/>
        <v/>
      </c>
      <c r="Z823" s="315" t="str">
        <f t="shared" ca="1" si="371"/>
        <v/>
      </c>
      <c r="AA823" s="316" t="str">
        <f t="shared" ca="1" si="372"/>
        <v/>
      </c>
      <c r="AC823" s="310" t="e">
        <f t="shared" ca="1" si="373"/>
        <v>#N/A</v>
      </c>
      <c r="AD823" s="323" t="e">
        <f t="shared" ca="1" si="374"/>
        <v>#N/A</v>
      </c>
      <c r="AE823" s="324" t="e">
        <f t="shared" ca="1" si="353"/>
        <v>#N/A</v>
      </c>
      <c r="AG823" s="306">
        <f t="shared" ca="1" si="375"/>
        <v>2.2374035137052299</v>
      </c>
      <c r="AH823" s="304">
        <f t="shared" ca="1" si="376"/>
        <v>-7.5570312730241795</v>
      </c>
    </row>
    <row r="824" spans="1:34" x14ac:dyDescent="0.2">
      <c r="A824" s="347">
        <f t="shared" ca="1" si="354"/>
        <v>1E-4</v>
      </c>
      <c r="B824" s="304">
        <f t="shared" ca="1" si="355"/>
        <v>37.708300000000499</v>
      </c>
      <c r="D824" s="306">
        <f t="shared" ca="1" si="356"/>
        <v>-0.42553544131955551</v>
      </c>
      <c r="E824" s="307">
        <f t="shared" ca="1" si="357"/>
        <v>-2.26492353996976</v>
      </c>
      <c r="F824" s="304">
        <f t="shared" ca="1" si="358"/>
        <v>2.3045518118992634</v>
      </c>
      <c r="G824" s="306">
        <f t="shared" ca="1" si="359"/>
        <v>7.4388080629900166</v>
      </c>
      <c r="H824" s="307">
        <f t="shared" ca="1" si="360"/>
        <v>-131.89687064130734</v>
      </c>
      <c r="I824" s="304">
        <f t="shared" ca="1" si="361"/>
        <v>132.10647353694583</v>
      </c>
      <c r="J824" s="306">
        <f t="shared" ca="1" si="362"/>
        <v>515.22511340180665</v>
      </c>
      <c r="K824" s="307">
        <f t="shared" ca="1" si="363"/>
        <v>-4.0023440256771616</v>
      </c>
      <c r="L824" s="304">
        <f t="shared" ca="1" si="348"/>
        <v>515.24065856413586</v>
      </c>
      <c r="M824" s="306">
        <f t="shared" ca="1" si="364"/>
        <v>-1.5144573408862927</v>
      </c>
      <c r="N824" s="304">
        <f t="shared" ca="1" si="365"/>
        <v>-86.772013885389981</v>
      </c>
      <c r="P824" s="310">
        <f t="shared" ca="1" si="366"/>
        <v>23</v>
      </c>
      <c r="Q824" s="304">
        <f t="shared" ca="1" si="367"/>
        <v>0</v>
      </c>
      <c r="R824" s="306">
        <f t="shared" ca="1" si="368"/>
        <v>0</v>
      </c>
      <c r="S824" s="307">
        <f t="shared" ca="1" si="369"/>
        <v>7.4819999999999904</v>
      </c>
      <c r="T824" s="304">
        <f t="shared" ca="1" si="349"/>
        <v>73.398419999999916</v>
      </c>
      <c r="U824" s="311">
        <f t="shared" ca="1" si="350"/>
        <v>0</v>
      </c>
      <c r="V824" s="306">
        <f t="shared" ca="1" si="351"/>
        <v>1.2254903852776748</v>
      </c>
      <c r="W824" s="304">
        <f t="shared" ca="1" si="352"/>
        <v>56.542240182563766</v>
      </c>
      <c r="Y824" s="314" t="str">
        <f t="shared" ca="1" si="370"/>
        <v/>
      </c>
      <c r="Z824" s="315" t="str">
        <f t="shared" ca="1" si="371"/>
        <v/>
      </c>
      <c r="AA824" s="316" t="str">
        <f t="shared" ca="1" si="372"/>
        <v/>
      </c>
      <c r="AC824" s="310" t="e">
        <f t="shared" ca="1" si="373"/>
        <v>#N/A</v>
      </c>
      <c r="AD824" s="323" t="e">
        <f t="shared" ca="1" si="374"/>
        <v>#N/A</v>
      </c>
      <c r="AE824" s="324" t="e">
        <f t="shared" ca="1" si="353"/>
        <v>#N/A</v>
      </c>
      <c r="AG824" s="306">
        <f t="shared" ca="1" si="375"/>
        <v>2.2373681793493914</v>
      </c>
      <c r="AH824" s="304">
        <f t="shared" ca="1" si="376"/>
        <v>-7.5570668383653645</v>
      </c>
    </row>
    <row r="825" spans="1:34" x14ac:dyDescent="0.2">
      <c r="A825" s="347">
        <f t="shared" ca="1" si="354"/>
        <v>1E-4</v>
      </c>
      <c r="B825" s="304">
        <f t="shared" ca="1" si="355"/>
        <v>37.708400000000502</v>
      </c>
      <c r="D825" s="306">
        <f t="shared" ca="1" si="356"/>
        <v>-0.42553428902070062</v>
      </c>
      <c r="E825" s="307">
        <f t="shared" ca="1" si="357"/>
        <v>-2.2648878533849279</v>
      </c>
      <c r="F825" s="304">
        <f t="shared" ca="1" si="358"/>
        <v>2.3045165262030429</v>
      </c>
      <c r="G825" s="306">
        <f t="shared" ca="1" si="359"/>
        <v>7.4387655095611143</v>
      </c>
      <c r="H825" s="307">
        <f t="shared" ca="1" si="360"/>
        <v>-131.89709713009267</v>
      </c>
      <c r="I825" s="304">
        <f t="shared" ca="1" si="361"/>
        <v>132.10669727024188</v>
      </c>
      <c r="J825" s="306">
        <f t="shared" ca="1" si="362"/>
        <v>515.22511340180665</v>
      </c>
      <c r="K825" s="307">
        <f t="shared" ca="1" si="363"/>
        <v>-4.0155337240657314</v>
      </c>
      <c r="L825" s="304">
        <f t="shared" ca="1" si="348"/>
        <v>515.2407611893625</v>
      </c>
      <c r="M825" s="306">
        <f t="shared" ca="1" si="364"/>
        <v>-1.5144577590279398</v>
      </c>
      <c r="N825" s="304">
        <f t="shared" ca="1" si="365"/>
        <v>-86.772037843141604</v>
      </c>
      <c r="P825" s="310">
        <f t="shared" ca="1" si="366"/>
        <v>23</v>
      </c>
      <c r="Q825" s="304">
        <f t="shared" ca="1" si="367"/>
        <v>0</v>
      </c>
      <c r="R825" s="306">
        <f t="shared" ca="1" si="368"/>
        <v>0</v>
      </c>
      <c r="S825" s="307">
        <f t="shared" ca="1" si="369"/>
        <v>7.4819999999999904</v>
      </c>
      <c r="T825" s="304">
        <f t="shared" ca="1" si="349"/>
        <v>73.398419999999916</v>
      </c>
      <c r="U825" s="311">
        <f t="shared" ca="1" si="350"/>
        <v>0</v>
      </c>
      <c r="V825" s="306">
        <f t="shared" ca="1" si="351"/>
        <v>1.2254920016636617</v>
      </c>
      <c r="W825" s="304">
        <f t="shared" ca="1" si="352"/>
        <v>56.542506278509308</v>
      </c>
      <c r="Y825" s="314" t="str">
        <f t="shared" ca="1" si="370"/>
        <v/>
      </c>
      <c r="Z825" s="315" t="str">
        <f t="shared" ca="1" si="371"/>
        <v/>
      </c>
      <c r="AA825" s="316" t="str">
        <f t="shared" ca="1" si="372"/>
        <v/>
      </c>
      <c r="AC825" s="310" t="e">
        <f t="shared" ca="1" si="373"/>
        <v>#N/A</v>
      </c>
      <c r="AD825" s="323" t="e">
        <f t="shared" ca="1" si="374"/>
        <v>#N/A</v>
      </c>
      <c r="AE825" s="324" t="e">
        <f t="shared" ca="1" si="353"/>
        <v>#N/A</v>
      </c>
      <c r="AG825" s="306">
        <f t="shared" ca="1" si="375"/>
        <v>2.2373328452528423</v>
      </c>
      <c r="AH825" s="304">
        <f t="shared" ca="1" si="376"/>
        <v>-7.5571024034434426</v>
      </c>
    </row>
    <row r="826" spans="1:34" x14ac:dyDescent="0.2">
      <c r="A826" s="347">
        <f t="shared" ca="1" si="354"/>
        <v>1E-4</v>
      </c>
      <c r="B826" s="304">
        <f t="shared" ca="1" si="355"/>
        <v>37.708500000000505</v>
      </c>
      <c r="D826" s="306">
        <f t="shared" ca="1" si="356"/>
        <v>-0.4255331367059958</v>
      </c>
      <c r="E826" s="307">
        <f t="shared" ca="1" si="357"/>
        <v>-2.2648521670640598</v>
      </c>
      <c r="F826" s="304">
        <f t="shared" ca="1" si="358"/>
        <v>2.3044812407762429</v>
      </c>
      <c r="G826" s="306">
        <f t="shared" ca="1" si="359"/>
        <v>7.4387229562474433</v>
      </c>
      <c r="H826" s="307">
        <f t="shared" ca="1" si="360"/>
        <v>-131.89732361530938</v>
      </c>
      <c r="I826" s="304">
        <f t="shared" ca="1" si="361"/>
        <v>132.10692100000458</v>
      </c>
      <c r="J826" s="306">
        <f t="shared" ca="1" si="362"/>
        <v>515.22511340180665</v>
      </c>
      <c r="K826" s="307">
        <f t="shared" ca="1" si="363"/>
        <v>-4.0287234451030018</v>
      </c>
      <c r="L826" s="304">
        <f t="shared" ca="1" si="348"/>
        <v>515.24086415239003</v>
      </c>
      <c r="M826" s="306">
        <f t="shared" ca="1" si="364"/>
        <v>-1.5144581771657788</v>
      </c>
      <c r="N826" s="304">
        <f t="shared" ca="1" si="365"/>
        <v>-86.772061800675033</v>
      </c>
      <c r="P826" s="310">
        <f t="shared" ca="1" si="366"/>
        <v>23</v>
      </c>
      <c r="Q826" s="304">
        <f t="shared" ca="1" si="367"/>
        <v>0</v>
      </c>
      <c r="R826" s="306">
        <f t="shared" ca="1" si="368"/>
        <v>0</v>
      </c>
      <c r="S826" s="307">
        <f t="shared" ca="1" si="369"/>
        <v>7.4819999999999904</v>
      </c>
      <c r="T826" s="304">
        <f t="shared" ca="1" si="349"/>
        <v>73.398419999999916</v>
      </c>
      <c r="U826" s="311">
        <f t="shared" ca="1" si="350"/>
        <v>0</v>
      </c>
      <c r="V826" s="306">
        <f t="shared" ca="1" si="351"/>
        <v>1.2254936180545566</v>
      </c>
      <c r="W826" s="304">
        <f t="shared" ca="1" si="352"/>
        <v>56.542772372486247</v>
      </c>
      <c r="Y826" s="314" t="str">
        <f t="shared" ca="1" si="370"/>
        <v/>
      </c>
      <c r="Z826" s="315" t="str">
        <f t="shared" ca="1" si="371"/>
        <v/>
      </c>
      <c r="AA826" s="316" t="str">
        <f t="shared" ca="1" si="372"/>
        <v/>
      </c>
      <c r="AC826" s="310" t="e">
        <f t="shared" ca="1" si="373"/>
        <v>#N/A</v>
      </c>
      <c r="AD826" s="323" t="e">
        <f t="shared" ca="1" si="374"/>
        <v>#N/A</v>
      </c>
      <c r="AE826" s="324" t="e">
        <f t="shared" ca="1" si="353"/>
        <v>#N/A</v>
      </c>
      <c r="AG826" s="306">
        <f t="shared" ca="1" si="375"/>
        <v>2.2372975114155942</v>
      </c>
      <c r="AH826" s="304">
        <f t="shared" ca="1" si="376"/>
        <v>-7.5571379682584041</v>
      </c>
    </row>
    <row r="827" spans="1:34" x14ac:dyDescent="0.2">
      <c r="A827" s="347">
        <f t="shared" ca="1" si="354"/>
        <v>1E-4</v>
      </c>
      <c r="B827" s="304">
        <f t="shared" ca="1" si="355"/>
        <v>37.708600000000509</v>
      </c>
      <c r="D827" s="306">
        <f t="shared" ca="1" si="356"/>
        <v>-0.42553198437543865</v>
      </c>
      <c r="E827" s="307">
        <f t="shared" ca="1" si="357"/>
        <v>-2.2648164810071512</v>
      </c>
      <c r="F827" s="304">
        <f t="shared" ca="1" si="358"/>
        <v>2.3044459556188586</v>
      </c>
      <c r="G827" s="306">
        <f t="shared" ca="1" si="359"/>
        <v>7.4386804030490055</v>
      </c>
      <c r="H827" s="307">
        <f t="shared" ca="1" si="360"/>
        <v>-131.89755009695747</v>
      </c>
      <c r="I827" s="304">
        <f t="shared" ca="1" si="361"/>
        <v>132.10714472623391</v>
      </c>
      <c r="J827" s="306">
        <f t="shared" ca="1" si="362"/>
        <v>515.22511340180665</v>
      </c>
      <c r="K827" s="307">
        <f t="shared" ca="1" si="363"/>
        <v>-4.0419131887886151</v>
      </c>
      <c r="L827" s="304">
        <f t="shared" ca="1" si="348"/>
        <v>515.24096745322015</v>
      </c>
      <c r="M827" s="306">
        <f t="shared" ca="1" si="364"/>
        <v>-1.5144585952998095</v>
      </c>
      <c r="N827" s="304">
        <f t="shared" ca="1" si="365"/>
        <v>-86.772085757990254</v>
      </c>
      <c r="P827" s="310">
        <f t="shared" ca="1" si="366"/>
        <v>23</v>
      </c>
      <c r="Q827" s="304">
        <f t="shared" ca="1" si="367"/>
        <v>0</v>
      </c>
      <c r="R827" s="306">
        <f t="shared" ca="1" si="368"/>
        <v>0</v>
      </c>
      <c r="S827" s="307">
        <f t="shared" ca="1" si="369"/>
        <v>7.4819999999999904</v>
      </c>
      <c r="T827" s="304">
        <f t="shared" ca="1" si="349"/>
        <v>73.398419999999916</v>
      </c>
      <c r="U827" s="311">
        <f t="shared" ca="1" si="350"/>
        <v>0</v>
      </c>
      <c r="V827" s="306">
        <f t="shared" ca="1" si="351"/>
        <v>1.2254952344503598</v>
      </c>
      <c r="W827" s="304">
        <f t="shared" ca="1" si="352"/>
        <v>56.543038464494607</v>
      </c>
      <c r="Y827" s="314" t="str">
        <f t="shared" ca="1" si="370"/>
        <v/>
      </c>
      <c r="Z827" s="315" t="str">
        <f t="shared" ca="1" si="371"/>
        <v/>
      </c>
      <c r="AA827" s="316" t="str">
        <f t="shared" ca="1" si="372"/>
        <v/>
      </c>
      <c r="AC827" s="310" t="e">
        <f t="shared" ca="1" si="373"/>
        <v>#N/A</v>
      </c>
      <c r="AD827" s="323" t="e">
        <f t="shared" ca="1" si="374"/>
        <v>#N/A</v>
      </c>
      <c r="AE827" s="324" t="e">
        <f t="shared" ca="1" si="353"/>
        <v>#N/A</v>
      </c>
      <c r="AG827" s="306">
        <f t="shared" ca="1" si="375"/>
        <v>2.2372621778376418</v>
      </c>
      <c r="AH827" s="304">
        <f t="shared" ca="1" si="376"/>
        <v>-7.5571735328102543</v>
      </c>
    </row>
    <row r="828" spans="1:34" x14ac:dyDescent="0.2">
      <c r="A828" s="347">
        <f t="shared" ca="1" si="354"/>
        <v>1E-4</v>
      </c>
      <c r="B828" s="304">
        <f t="shared" ca="1" si="355"/>
        <v>37.708700000000512</v>
      </c>
      <c r="D828" s="306">
        <f t="shared" ca="1" si="356"/>
        <v>-0.42553083202903175</v>
      </c>
      <c r="E828" s="307">
        <f t="shared" ca="1" si="357"/>
        <v>-2.2647807952141994</v>
      </c>
      <c r="F828" s="304">
        <f t="shared" ca="1" si="358"/>
        <v>2.304410670730888</v>
      </c>
      <c r="G828" s="306">
        <f t="shared" ca="1" si="359"/>
        <v>7.4386378499658026</v>
      </c>
      <c r="H828" s="307">
        <f t="shared" ca="1" si="360"/>
        <v>-131.897776575037</v>
      </c>
      <c r="I828" s="304">
        <f t="shared" ca="1" si="361"/>
        <v>132.10736844892992</v>
      </c>
      <c r="J828" s="306">
        <f t="shared" ca="1" si="362"/>
        <v>515.22511340180665</v>
      </c>
      <c r="K828" s="307">
        <f t="shared" ca="1" si="363"/>
        <v>-4.0551029551222149</v>
      </c>
      <c r="L828" s="304">
        <f t="shared" ca="1" si="348"/>
        <v>515.24107109185422</v>
      </c>
      <c r="M828" s="306">
        <f t="shared" ca="1" si="364"/>
        <v>-1.5144590134300322</v>
      </c>
      <c r="N828" s="304">
        <f t="shared" ca="1" si="365"/>
        <v>-86.772109715087311</v>
      </c>
      <c r="P828" s="310">
        <f t="shared" ca="1" si="366"/>
        <v>23</v>
      </c>
      <c r="Q828" s="304">
        <f t="shared" ca="1" si="367"/>
        <v>0</v>
      </c>
      <c r="R828" s="306">
        <f t="shared" ca="1" si="368"/>
        <v>0</v>
      </c>
      <c r="S828" s="307">
        <f t="shared" ca="1" si="369"/>
        <v>7.4819999999999904</v>
      </c>
      <c r="T828" s="304">
        <f t="shared" ca="1" si="349"/>
        <v>73.398419999999916</v>
      </c>
      <c r="U828" s="311">
        <f t="shared" ca="1" si="350"/>
        <v>0</v>
      </c>
      <c r="V828" s="306">
        <f t="shared" ca="1" si="351"/>
        <v>1.22549685085107</v>
      </c>
      <c r="W828" s="304">
        <f t="shared" ca="1" si="352"/>
        <v>56.543304554534281</v>
      </c>
      <c r="Y828" s="314" t="str">
        <f t="shared" ca="1" si="370"/>
        <v/>
      </c>
      <c r="Z828" s="315" t="str">
        <f t="shared" ca="1" si="371"/>
        <v/>
      </c>
      <c r="AA828" s="316" t="str">
        <f t="shared" ca="1" si="372"/>
        <v/>
      </c>
      <c r="AC828" s="310" t="e">
        <f t="shared" ca="1" si="373"/>
        <v>#N/A</v>
      </c>
      <c r="AD828" s="323" t="e">
        <f t="shared" ca="1" si="374"/>
        <v>#N/A</v>
      </c>
      <c r="AE828" s="324" t="e">
        <f t="shared" ca="1" si="353"/>
        <v>#N/A</v>
      </c>
      <c r="AG828" s="306">
        <f t="shared" ca="1" si="375"/>
        <v>2.2372268445189798</v>
      </c>
      <c r="AH828" s="304">
        <f t="shared" ca="1" si="376"/>
        <v>-7.5572090970989949</v>
      </c>
    </row>
    <row r="829" spans="1:34" x14ac:dyDescent="0.2">
      <c r="A829" s="347">
        <f t="shared" ca="1" si="354"/>
        <v>1E-4</v>
      </c>
      <c r="B829" s="304">
        <f t="shared" ca="1" si="355"/>
        <v>37.708800000000515</v>
      </c>
      <c r="D829" s="306">
        <f t="shared" ca="1" si="356"/>
        <v>-0.42552967966677335</v>
      </c>
      <c r="E829" s="307">
        <f t="shared" ca="1" si="357"/>
        <v>-2.2647451096852169</v>
      </c>
      <c r="F829" s="304">
        <f t="shared" ca="1" si="358"/>
        <v>2.3043753861123433</v>
      </c>
      <c r="G829" s="306">
        <f t="shared" ca="1" si="359"/>
        <v>7.4385952969978355</v>
      </c>
      <c r="H829" s="307">
        <f t="shared" ca="1" si="360"/>
        <v>-131.89800304954798</v>
      </c>
      <c r="I829" s="304">
        <f t="shared" ca="1" si="361"/>
        <v>132.10759216809262</v>
      </c>
      <c r="J829" s="306">
        <f t="shared" ca="1" si="362"/>
        <v>515.22511340180665</v>
      </c>
      <c r="K829" s="307">
        <f t="shared" ca="1" si="363"/>
        <v>-4.0682927441034442</v>
      </c>
      <c r="L829" s="304">
        <f t="shared" ca="1" si="348"/>
        <v>515.24117506829384</v>
      </c>
      <c r="M829" s="306">
        <f t="shared" ca="1" si="364"/>
        <v>-1.5144594315564468</v>
      </c>
      <c r="N829" s="304">
        <f t="shared" ca="1" si="365"/>
        <v>-86.772133671966159</v>
      </c>
      <c r="P829" s="310">
        <f t="shared" ca="1" si="366"/>
        <v>23</v>
      </c>
      <c r="Q829" s="304">
        <f t="shared" ca="1" si="367"/>
        <v>0</v>
      </c>
      <c r="R829" s="306">
        <f t="shared" ca="1" si="368"/>
        <v>0</v>
      </c>
      <c r="S829" s="307">
        <f t="shared" ca="1" si="369"/>
        <v>7.4819999999999904</v>
      </c>
      <c r="T829" s="304">
        <f t="shared" ca="1" si="349"/>
        <v>73.398419999999916</v>
      </c>
      <c r="U829" s="311">
        <f t="shared" ca="1" si="350"/>
        <v>0</v>
      </c>
      <c r="V829" s="306">
        <f t="shared" ca="1" si="351"/>
        <v>1.2254984672566891</v>
      </c>
      <c r="W829" s="304">
        <f t="shared" ca="1" si="352"/>
        <v>56.543570642605388</v>
      </c>
      <c r="Y829" s="314" t="str">
        <f t="shared" ca="1" si="370"/>
        <v/>
      </c>
      <c r="Z829" s="315" t="str">
        <f t="shared" ca="1" si="371"/>
        <v/>
      </c>
      <c r="AA829" s="316" t="str">
        <f t="shared" ca="1" si="372"/>
        <v/>
      </c>
      <c r="AC829" s="310" t="e">
        <f t="shared" ca="1" si="373"/>
        <v>#N/A</v>
      </c>
      <c r="AD829" s="323" t="e">
        <f t="shared" ca="1" si="374"/>
        <v>#N/A</v>
      </c>
      <c r="AE829" s="324" t="e">
        <f t="shared" ca="1" si="353"/>
        <v>#N/A</v>
      </c>
      <c r="AG829" s="306">
        <f t="shared" ca="1" si="375"/>
        <v>2.2371915114596286</v>
      </c>
      <c r="AH829" s="304">
        <f t="shared" ca="1" si="376"/>
        <v>-7.5572446611246127</v>
      </c>
    </row>
    <row r="830" spans="1:34" x14ac:dyDescent="0.2">
      <c r="A830" s="347">
        <f t="shared" ca="1" si="354"/>
        <v>1E-4</v>
      </c>
      <c r="B830" s="304">
        <f t="shared" ca="1" si="355"/>
        <v>37.708900000000519</v>
      </c>
      <c r="D830" s="306">
        <f t="shared" ca="1" si="356"/>
        <v>-0.42552852728866519</v>
      </c>
      <c r="E830" s="307">
        <f t="shared" ca="1" si="357"/>
        <v>-2.2647094244201895</v>
      </c>
      <c r="F830" s="304">
        <f t="shared" ca="1" si="358"/>
        <v>2.304340101763211</v>
      </c>
      <c r="G830" s="306">
        <f t="shared" ca="1" si="359"/>
        <v>7.4385527441451069</v>
      </c>
      <c r="H830" s="307">
        <f t="shared" ca="1" si="360"/>
        <v>-131.89822952049042</v>
      </c>
      <c r="I830" s="304">
        <f t="shared" ca="1" si="361"/>
        <v>132.10781588372203</v>
      </c>
      <c r="J830" s="306">
        <f t="shared" ca="1" si="362"/>
        <v>515.22511340180665</v>
      </c>
      <c r="K830" s="307">
        <f t="shared" ca="1" si="363"/>
        <v>-4.0814825557319461</v>
      </c>
      <c r="L830" s="304">
        <f t="shared" ca="1" si="348"/>
        <v>515.2412793825406</v>
      </c>
      <c r="M830" s="306">
        <f t="shared" ca="1" si="364"/>
        <v>-1.5144598496790531</v>
      </c>
      <c r="N830" s="304">
        <f t="shared" ca="1" si="365"/>
        <v>-86.772157628626829</v>
      </c>
      <c r="P830" s="310">
        <f t="shared" ca="1" si="366"/>
        <v>23</v>
      </c>
      <c r="Q830" s="304">
        <f t="shared" ca="1" si="367"/>
        <v>0</v>
      </c>
      <c r="R830" s="306">
        <f t="shared" ca="1" si="368"/>
        <v>0</v>
      </c>
      <c r="S830" s="307">
        <f t="shared" ca="1" si="369"/>
        <v>7.4819999999999904</v>
      </c>
      <c r="T830" s="304">
        <f t="shared" ca="1" si="349"/>
        <v>73.398419999999916</v>
      </c>
      <c r="U830" s="311">
        <f t="shared" ca="1" si="350"/>
        <v>0</v>
      </c>
      <c r="V830" s="306">
        <f t="shared" ca="1" si="351"/>
        <v>1.2255000836672154</v>
      </c>
      <c r="W830" s="304">
        <f t="shared" ca="1" si="352"/>
        <v>56.543836728707817</v>
      </c>
      <c r="Y830" s="314" t="str">
        <f t="shared" ca="1" si="370"/>
        <v/>
      </c>
      <c r="Z830" s="315" t="str">
        <f t="shared" ca="1" si="371"/>
        <v/>
      </c>
      <c r="AA830" s="316" t="str">
        <f t="shared" ca="1" si="372"/>
        <v/>
      </c>
      <c r="AC830" s="310" t="e">
        <f t="shared" ca="1" si="373"/>
        <v>#N/A</v>
      </c>
      <c r="AD830" s="323" t="e">
        <f t="shared" ca="1" si="374"/>
        <v>#N/A</v>
      </c>
      <c r="AE830" s="324" t="e">
        <f t="shared" ca="1" si="353"/>
        <v>#N/A</v>
      </c>
      <c r="AG830" s="306">
        <f t="shared" ca="1" si="375"/>
        <v>2.2371561786595651</v>
      </c>
      <c r="AH830" s="304">
        <f t="shared" ca="1" si="376"/>
        <v>-7.5572802248871236</v>
      </c>
    </row>
    <row r="831" spans="1:34" x14ac:dyDescent="0.2">
      <c r="A831" s="347">
        <f t="shared" ca="1" si="354"/>
        <v>1E-4</v>
      </c>
      <c r="B831" s="304">
        <f t="shared" ca="1" si="355"/>
        <v>37.709000000000522</v>
      </c>
      <c r="D831" s="306">
        <f t="shared" ca="1" si="356"/>
        <v>-0.42552737489470871</v>
      </c>
      <c r="E831" s="307">
        <f t="shared" ca="1" si="357"/>
        <v>-2.2646737394191314</v>
      </c>
      <c r="F831" s="304">
        <f t="shared" ca="1" si="358"/>
        <v>2.3043048176835059</v>
      </c>
      <c r="G831" s="306">
        <f t="shared" ca="1" si="359"/>
        <v>7.4385101914076177</v>
      </c>
      <c r="H831" s="307">
        <f t="shared" ca="1" si="360"/>
        <v>-131.89845598786437</v>
      </c>
      <c r="I831" s="304">
        <f t="shared" ca="1" si="361"/>
        <v>132.10803959581821</v>
      </c>
      <c r="J831" s="306">
        <f t="shared" ca="1" si="362"/>
        <v>515.22511340180665</v>
      </c>
      <c r="K831" s="307">
        <f t="shared" ca="1" si="363"/>
        <v>-4.0946723900073634</v>
      </c>
      <c r="L831" s="304">
        <f t="shared" ca="1" si="348"/>
        <v>515.24138403459597</v>
      </c>
      <c r="M831" s="306">
        <f t="shared" ca="1" si="364"/>
        <v>-1.5144602677978518</v>
      </c>
      <c r="N831" s="304">
        <f t="shared" ca="1" si="365"/>
        <v>-86.772181585069333</v>
      </c>
      <c r="P831" s="310">
        <f t="shared" ca="1" si="366"/>
        <v>23</v>
      </c>
      <c r="Q831" s="304">
        <f t="shared" ca="1" si="367"/>
        <v>0</v>
      </c>
      <c r="R831" s="306">
        <f t="shared" ca="1" si="368"/>
        <v>0</v>
      </c>
      <c r="S831" s="307">
        <f t="shared" ca="1" si="369"/>
        <v>7.4819999999999904</v>
      </c>
      <c r="T831" s="304">
        <f t="shared" ca="1" si="349"/>
        <v>73.398419999999916</v>
      </c>
      <c r="U831" s="311">
        <f t="shared" ca="1" si="350"/>
        <v>0</v>
      </c>
      <c r="V831" s="306">
        <f t="shared" ca="1" si="351"/>
        <v>1.22550170008265</v>
      </c>
      <c r="W831" s="304">
        <f t="shared" ca="1" si="352"/>
        <v>56.544102812841679</v>
      </c>
      <c r="Y831" s="314" t="str">
        <f t="shared" ca="1" si="370"/>
        <v/>
      </c>
      <c r="Z831" s="315" t="str">
        <f t="shared" ca="1" si="371"/>
        <v/>
      </c>
      <c r="AA831" s="316" t="str">
        <f t="shared" ca="1" si="372"/>
        <v/>
      </c>
      <c r="AC831" s="310" t="e">
        <f t="shared" ca="1" si="373"/>
        <v>#N/A</v>
      </c>
      <c r="AD831" s="323" t="e">
        <f t="shared" ca="1" si="374"/>
        <v>#N/A</v>
      </c>
      <c r="AE831" s="324" t="e">
        <f t="shared" ca="1" si="353"/>
        <v>#N/A</v>
      </c>
      <c r="AG831" s="306">
        <f t="shared" ca="1" si="375"/>
        <v>2.2371208461188115</v>
      </c>
      <c r="AH831" s="304">
        <f t="shared" ca="1" si="376"/>
        <v>-7.5573157883865125</v>
      </c>
    </row>
    <row r="832" spans="1:34" x14ac:dyDescent="0.2">
      <c r="A832" s="347">
        <f t="shared" ca="1" si="354"/>
        <v>1E-4</v>
      </c>
      <c r="B832" s="304">
        <f t="shared" ca="1" si="355"/>
        <v>37.709100000000525</v>
      </c>
      <c r="D832" s="306">
        <f t="shared" ca="1" si="356"/>
        <v>-0.42552622248490052</v>
      </c>
      <c r="E832" s="307">
        <f t="shared" ca="1" si="357"/>
        <v>-2.2646380546820284</v>
      </c>
      <c r="F832" s="304">
        <f t="shared" ca="1" si="358"/>
        <v>2.3042695338732124</v>
      </c>
      <c r="G832" s="306">
        <f t="shared" ca="1" si="359"/>
        <v>7.4384676387853697</v>
      </c>
      <c r="H832" s="307">
        <f t="shared" ca="1" si="360"/>
        <v>-131.89868245166983</v>
      </c>
      <c r="I832" s="304">
        <f t="shared" ca="1" si="361"/>
        <v>132.10826330438113</v>
      </c>
      <c r="J832" s="306">
        <f t="shared" ca="1" si="362"/>
        <v>515.22511340180665</v>
      </c>
      <c r="K832" s="307">
        <f t="shared" ca="1" si="363"/>
        <v>-4.10786224692934</v>
      </c>
      <c r="L832" s="304">
        <f t="shared" ca="1" si="348"/>
        <v>515.24148902446154</v>
      </c>
      <c r="M832" s="306">
        <f t="shared" ca="1" si="364"/>
        <v>-1.5144606859128422</v>
      </c>
      <c r="N832" s="304">
        <f t="shared" ca="1" si="365"/>
        <v>-86.77220554129363</v>
      </c>
      <c r="P832" s="310">
        <f t="shared" ca="1" si="366"/>
        <v>23</v>
      </c>
      <c r="Q832" s="304">
        <f t="shared" ca="1" si="367"/>
        <v>0</v>
      </c>
      <c r="R832" s="306">
        <f t="shared" ca="1" si="368"/>
        <v>0</v>
      </c>
      <c r="S832" s="307">
        <f t="shared" ca="1" si="369"/>
        <v>7.4819999999999904</v>
      </c>
      <c r="T832" s="304">
        <f t="shared" ca="1" si="349"/>
        <v>73.398419999999916</v>
      </c>
      <c r="U832" s="311">
        <f t="shared" ca="1" si="350"/>
        <v>0</v>
      </c>
      <c r="V832" s="306">
        <f t="shared" ca="1" si="351"/>
        <v>1.2255033165029918</v>
      </c>
      <c r="W832" s="304">
        <f t="shared" ca="1" si="352"/>
        <v>56.544368895006826</v>
      </c>
      <c r="Y832" s="314" t="str">
        <f t="shared" ca="1" si="370"/>
        <v/>
      </c>
      <c r="Z832" s="315" t="str">
        <f t="shared" ca="1" si="371"/>
        <v/>
      </c>
      <c r="AA832" s="316" t="str">
        <f t="shared" ca="1" si="372"/>
        <v/>
      </c>
      <c r="AC832" s="310" t="e">
        <f t="shared" ca="1" si="373"/>
        <v>#N/A</v>
      </c>
      <c r="AD832" s="323" t="e">
        <f t="shared" ca="1" si="374"/>
        <v>#N/A</v>
      </c>
      <c r="AE832" s="324" t="e">
        <f t="shared" ca="1" si="353"/>
        <v>#N/A</v>
      </c>
      <c r="AG832" s="306">
        <f t="shared" ca="1" si="375"/>
        <v>2.2370855138373456</v>
      </c>
      <c r="AH832" s="304">
        <f t="shared" ca="1" si="376"/>
        <v>-7.5573513516227946</v>
      </c>
    </row>
    <row r="833" spans="1:34" x14ac:dyDescent="0.2">
      <c r="A833" s="347">
        <f t="shared" ca="1" si="354"/>
        <v>1E-4</v>
      </c>
      <c r="B833" s="304">
        <f t="shared" ca="1" si="355"/>
        <v>37.709200000000529</v>
      </c>
      <c r="D833" s="306">
        <f t="shared" ca="1" si="356"/>
        <v>-0.42552507005924534</v>
      </c>
      <c r="E833" s="307">
        <f t="shared" ca="1" si="357"/>
        <v>-2.2646023702088991</v>
      </c>
      <c r="F833" s="304">
        <f t="shared" ca="1" si="358"/>
        <v>2.3042342503323505</v>
      </c>
      <c r="G833" s="306">
        <f t="shared" ca="1" si="359"/>
        <v>7.4384250862783636</v>
      </c>
      <c r="H833" s="307">
        <f t="shared" ca="1" si="360"/>
        <v>-131.89890891190686</v>
      </c>
      <c r="I833" s="304">
        <f t="shared" ca="1" si="361"/>
        <v>132.10848700941088</v>
      </c>
      <c r="J833" s="306">
        <f t="shared" ca="1" si="362"/>
        <v>515.22511340180665</v>
      </c>
      <c r="K833" s="307">
        <f t="shared" ca="1" si="363"/>
        <v>-4.1210521264975188</v>
      </c>
      <c r="L833" s="304">
        <f t="shared" ca="1" si="348"/>
        <v>515.24159435213869</v>
      </c>
      <c r="M833" s="306">
        <f t="shared" ca="1" si="364"/>
        <v>-1.5144611040240248</v>
      </c>
      <c r="N833" s="304">
        <f t="shared" ca="1" si="365"/>
        <v>-86.772229497299762</v>
      </c>
      <c r="P833" s="310">
        <f t="shared" ca="1" si="366"/>
        <v>23</v>
      </c>
      <c r="Q833" s="304">
        <f t="shared" ca="1" si="367"/>
        <v>0</v>
      </c>
      <c r="R833" s="306">
        <f t="shared" ca="1" si="368"/>
        <v>0</v>
      </c>
      <c r="S833" s="307">
        <f t="shared" ca="1" si="369"/>
        <v>7.4819999999999904</v>
      </c>
      <c r="T833" s="304">
        <f t="shared" ca="1" si="349"/>
        <v>73.398419999999916</v>
      </c>
      <c r="U833" s="311">
        <f t="shared" ca="1" si="350"/>
        <v>0</v>
      </c>
      <c r="V833" s="306">
        <f t="shared" ca="1" si="351"/>
        <v>1.2255049329282421</v>
      </c>
      <c r="W833" s="304">
        <f t="shared" ca="1" si="352"/>
        <v>56.544634975203415</v>
      </c>
      <c r="Y833" s="314" t="str">
        <f t="shared" ca="1" si="370"/>
        <v/>
      </c>
      <c r="Z833" s="315" t="str">
        <f t="shared" ca="1" si="371"/>
        <v/>
      </c>
      <c r="AA833" s="316" t="str">
        <f t="shared" ca="1" si="372"/>
        <v/>
      </c>
      <c r="AC833" s="310" t="e">
        <f t="shared" ca="1" si="373"/>
        <v>#N/A</v>
      </c>
      <c r="AD833" s="323" t="e">
        <f t="shared" ca="1" si="374"/>
        <v>#N/A</v>
      </c>
      <c r="AE833" s="324" t="e">
        <f t="shared" ca="1" si="353"/>
        <v>#N/A</v>
      </c>
      <c r="AG833" s="306">
        <f t="shared" ca="1" si="375"/>
        <v>2.2370501818151922</v>
      </c>
      <c r="AH833" s="304">
        <f t="shared" ca="1" si="376"/>
        <v>-7.5573869145959502</v>
      </c>
    </row>
    <row r="834" spans="1:34" x14ac:dyDescent="0.2">
      <c r="A834" s="347">
        <f t="shared" ca="1" si="354"/>
        <v>1E-4</v>
      </c>
      <c r="B834" s="304">
        <f t="shared" ca="1" si="355"/>
        <v>37.709300000000532</v>
      </c>
      <c r="D834" s="306">
        <f t="shared" ca="1" si="356"/>
        <v>-0.42552391761774155</v>
      </c>
      <c r="E834" s="307">
        <f t="shared" ca="1" si="357"/>
        <v>-2.264566685999724</v>
      </c>
      <c r="F834" s="304">
        <f t="shared" ca="1" si="358"/>
        <v>2.3041989670609011</v>
      </c>
      <c r="G834" s="306">
        <f t="shared" ca="1" si="359"/>
        <v>7.4383825338866014</v>
      </c>
      <c r="H834" s="307">
        <f t="shared" ca="1" si="360"/>
        <v>-131.89913536857546</v>
      </c>
      <c r="I834" s="304">
        <f t="shared" ca="1" si="361"/>
        <v>132.10871071090742</v>
      </c>
      <c r="J834" s="306">
        <f t="shared" ca="1" si="362"/>
        <v>515.22511340180665</v>
      </c>
      <c r="K834" s="307">
        <f t="shared" ca="1" si="363"/>
        <v>-4.1342420287115429</v>
      </c>
      <c r="L834" s="304">
        <f t="shared" ca="1" si="348"/>
        <v>515.24170001762911</v>
      </c>
      <c r="M834" s="306">
        <f t="shared" ca="1" si="364"/>
        <v>-1.5144615221313997</v>
      </c>
      <c r="N834" s="304">
        <f t="shared" ca="1" si="365"/>
        <v>-86.772253453087728</v>
      </c>
      <c r="P834" s="310">
        <f t="shared" ca="1" si="366"/>
        <v>23</v>
      </c>
      <c r="Q834" s="304">
        <f t="shared" ca="1" si="367"/>
        <v>0</v>
      </c>
      <c r="R834" s="306">
        <f t="shared" ca="1" si="368"/>
        <v>0</v>
      </c>
      <c r="S834" s="307">
        <f t="shared" ca="1" si="369"/>
        <v>7.4819999999999904</v>
      </c>
      <c r="T834" s="304">
        <f t="shared" ca="1" si="349"/>
        <v>73.398419999999916</v>
      </c>
      <c r="U834" s="311">
        <f t="shared" ca="1" si="350"/>
        <v>0</v>
      </c>
      <c r="V834" s="306">
        <f t="shared" ca="1" si="351"/>
        <v>1.2255065493583994</v>
      </c>
      <c r="W834" s="304">
        <f t="shared" ca="1" si="352"/>
        <v>56.544901053431289</v>
      </c>
      <c r="Y834" s="314" t="str">
        <f t="shared" ca="1" si="370"/>
        <v/>
      </c>
      <c r="Z834" s="315" t="str">
        <f t="shared" ca="1" si="371"/>
        <v/>
      </c>
      <c r="AA834" s="316" t="str">
        <f t="shared" ca="1" si="372"/>
        <v/>
      </c>
      <c r="AC834" s="310" t="e">
        <f t="shared" ca="1" si="373"/>
        <v>#N/A</v>
      </c>
      <c r="AD834" s="323" t="e">
        <f t="shared" ca="1" si="374"/>
        <v>#N/A</v>
      </c>
      <c r="AE834" s="324" t="e">
        <f t="shared" ca="1" si="353"/>
        <v>#N/A</v>
      </c>
      <c r="AG834" s="306">
        <f t="shared" ca="1" si="375"/>
        <v>2.2370148500523284</v>
      </c>
      <c r="AH834" s="304">
        <f t="shared" ca="1" si="376"/>
        <v>-7.557422477305999</v>
      </c>
    </row>
    <row r="835" spans="1:34" x14ac:dyDescent="0.2">
      <c r="A835" s="347">
        <f t="shared" ca="1" si="354"/>
        <v>1E-4</v>
      </c>
      <c r="B835" s="304">
        <f t="shared" ca="1" si="355"/>
        <v>37.709400000000535</v>
      </c>
      <c r="D835" s="306">
        <f t="shared" ca="1" si="356"/>
        <v>-0.42552276516038723</v>
      </c>
      <c r="E835" s="307">
        <f t="shared" ca="1" si="357"/>
        <v>-2.2645310020545226</v>
      </c>
      <c r="F835" s="304">
        <f t="shared" ca="1" si="358"/>
        <v>2.3041636840588828</v>
      </c>
      <c r="G835" s="306">
        <f t="shared" ca="1" si="359"/>
        <v>7.4383399816100857</v>
      </c>
      <c r="H835" s="307">
        <f t="shared" ca="1" si="360"/>
        <v>-131.89936182167565</v>
      </c>
      <c r="I835" s="304">
        <f t="shared" ca="1" si="361"/>
        <v>132.10893440887079</v>
      </c>
      <c r="J835" s="306">
        <f t="shared" ca="1" si="362"/>
        <v>515.22511340180665</v>
      </c>
      <c r="K835" s="307">
        <f t="shared" ca="1" si="363"/>
        <v>-4.1474319535710551</v>
      </c>
      <c r="L835" s="304">
        <f t="shared" ca="1" si="348"/>
        <v>515.24180602093429</v>
      </c>
      <c r="M835" s="306">
        <f t="shared" ca="1" si="364"/>
        <v>-1.5144619402349668</v>
      </c>
      <c r="N835" s="304">
        <f t="shared" ca="1" si="365"/>
        <v>-86.772277408657516</v>
      </c>
      <c r="P835" s="310">
        <f t="shared" ca="1" si="366"/>
        <v>23</v>
      </c>
      <c r="Q835" s="304">
        <f t="shared" ca="1" si="367"/>
        <v>0</v>
      </c>
      <c r="R835" s="306">
        <f t="shared" ca="1" si="368"/>
        <v>0</v>
      </c>
      <c r="S835" s="307">
        <f t="shared" ca="1" si="369"/>
        <v>7.4819999999999904</v>
      </c>
      <c r="T835" s="304">
        <f t="shared" ca="1" si="349"/>
        <v>73.398419999999916</v>
      </c>
      <c r="U835" s="311">
        <f t="shared" ca="1" si="350"/>
        <v>0</v>
      </c>
      <c r="V835" s="306">
        <f t="shared" ca="1" si="351"/>
        <v>1.2255081657934648</v>
      </c>
      <c r="W835" s="304">
        <f t="shared" ca="1" si="352"/>
        <v>56.545167129690533</v>
      </c>
      <c r="Y835" s="314" t="str">
        <f t="shared" ca="1" si="370"/>
        <v/>
      </c>
      <c r="Z835" s="315" t="str">
        <f t="shared" ca="1" si="371"/>
        <v/>
      </c>
      <c r="AA835" s="316" t="str">
        <f t="shared" ca="1" si="372"/>
        <v/>
      </c>
      <c r="AC835" s="310" t="e">
        <f t="shared" ca="1" si="373"/>
        <v>#N/A</v>
      </c>
      <c r="AD835" s="323" t="e">
        <f t="shared" ca="1" si="374"/>
        <v>#N/A</v>
      </c>
      <c r="AE835" s="324" t="e">
        <f t="shared" ca="1" si="353"/>
        <v>#N/A</v>
      </c>
      <c r="AG835" s="306">
        <f t="shared" ca="1" si="375"/>
        <v>2.2369795185487762</v>
      </c>
      <c r="AH835" s="304">
        <f t="shared" ca="1" si="376"/>
        <v>-7.5574580397529223</v>
      </c>
    </row>
    <row r="836" spans="1:34" x14ac:dyDescent="0.2">
      <c r="A836" s="347">
        <f t="shared" ca="1" si="354"/>
        <v>1E-4</v>
      </c>
      <c r="B836" s="304">
        <f t="shared" ca="1" si="355"/>
        <v>37.709500000000538</v>
      </c>
      <c r="D836" s="306">
        <f t="shared" ca="1" si="356"/>
        <v>-0.42552161268718525</v>
      </c>
      <c r="E836" s="307">
        <f t="shared" ca="1" si="357"/>
        <v>-2.2644953183732843</v>
      </c>
      <c r="F836" s="304">
        <f t="shared" ca="1" si="358"/>
        <v>2.3041284013262859</v>
      </c>
      <c r="G836" s="306">
        <f t="shared" ca="1" si="359"/>
        <v>7.4382974294488173</v>
      </c>
      <c r="H836" s="307">
        <f t="shared" ca="1" si="360"/>
        <v>-131.89958827120751</v>
      </c>
      <c r="I836" s="304">
        <f t="shared" ca="1" si="361"/>
        <v>132.1091581033011</v>
      </c>
      <c r="J836" s="306">
        <f t="shared" ca="1" si="362"/>
        <v>515.22511340180665</v>
      </c>
      <c r="K836" s="307">
        <f t="shared" ca="1" si="363"/>
        <v>-4.1606219010756993</v>
      </c>
      <c r="L836" s="304">
        <f t="shared" ref="L836:L899" ca="1" si="377">SQRT(pos_x^2+pos_z^2)</f>
        <v>515.24191236205559</v>
      </c>
      <c r="M836" s="306">
        <f t="shared" ca="1" si="364"/>
        <v>-1.5144623583347261</v>
      </c>
      <c r="N836" s="304">
        <f t="shared" ca="1" si="365"/>
        <v>-86.772301364009138</v>
      </c>
      <c r="P836" s="310">
        <f t="shared" ca="1" si="366"/>
        <v>23</v>
      </c>
      <c r="Q836" s="304">
        <f t="shared" ca="1" si="367"/>
        <v>0</v>
      </c>
      <c r="R836" s="306">
        <f t="shared" ca="1" si="368"/>
        <v>0</v>
      </c>
      <c r="S836" s="307">
        <f t="shared" ca="1" si="369"/>
        <v>7.4819999999999904</v>
      </c>
      <c r="T836" s="304">
        <f t="shared" ref="T836:T899" ca="1" si="378">m*g</f>
        <v>73.398419999999916</v>
      </c>
      <c r="U836" s="311">
        <f t="shared" ref="U836:U899" ca="1" si="379">IF(pos_xz&lt;L_rampe,Poids*COS(Beta),0)</f>
        <v>0</v>
      </c>
      <c r="V836" s="306">
        <f t="shared" ref="V836:V899" ca="1" si="380">Rho_moyen*(20000-Alt_rampe-pos_z)/(20000+Alt_rampe+pos_z)</f>
        <v>1.2255097822334382</v>
      </c>
      <c r="W836" s="304">
        <f t="shared" ref="W836:W899" ca="1" si="381">1/2*Rho*Sref*Cx*vit_xz^2</f>
        <v>56.54543320398119</v>
      </c>
      <c r="Y836" s="314" t="str">
        <f t="shared" ca="1" si="370"/>
        <v/>
      </c>
      <c r="Z836" s="315" t="str">
        <f t="shared" ca="1" si="371"/>
        <v/>
      </c>
      <c r="AA836" s="316" t="str">
        <f t="shared" ca="1" si="372"/>
        <v/>
      </c>
      <c r="AC836" s="310" t="e">
        <f t="shared" ca="1" si="373"/>
        <v>#N/A</v>
      </c>
      <c r="AD836" s="323" t="e">
        <f t="shared" ca="1" si="374"/>
        <v>#N/A</v>
      </c>
      <c r="AE836" s="324" t="e">
        <f t="shared" ref="AE836:AE899" ca="1" si="382">IF(t&lt;T_para, pos_z, NA())</f>
        <v>#N/A</v>
      </c>
      <c r="AG836" s="306">
        <f t="shared" ca="1" si="375"/>
        <v>2.236944187304525</v>
      </c>
      <c r="AH836" s="304">
        <f t="shared" ca="1" si="376"/>
        <v>-7.5574936019367289</v>
      </c>
    </row>
    <row r="837" spans="1:34" x14ac:dyDescent="0.2">
      <c r="A837" s="347">
        <f t="shared" ref="A837:A900" ca="1" si="383">IF(B836+0.01&lt;=T_ini+ROUNDUP(Temps_fin_propu,0), 0.01, IF(K836&gt;0, 0.1, 0.0001))</f>
        <v>1E-4</v>
      </c>
      <c r="B837" s="304">
        <f t="shared" ref="B837:B900" ca="1" si="384">B836+pas</f>
        <v>37.709600000000542</v>
      </c>
      <c r="D837" s="306">
        <f t="shared" ref="D837:D900" ca="1" si="385">IF(AND(L836&lt;L_rampe,Poussee&lt;Poids*SIN(M836)),0,(-W836+Poussee)/m*COS(M836)-U836/m*SIN(M836))</f>
        <v>-0.42552046019813677</v>
      </c>
      <c r="E837" s="307">
        <f t="shared" ref="E837:E900" ca="1" si="386">IF(AND(L836&lt;L_rampe,Poussee&lt;Poids*SIN(M836)),0,(-W836+Poussee)/m*SIN(M836)+U836/m*COS(M836)-Poids/m)</f>
        <v>-2.2644596349560038</v>
      </c>
      <c r="F837" s="304">
        <f t="shared" ref="F837:F900" ca="1" si="387">SQRT(acc_x^2+acc_z^2)</f>
        <v>2.3040931188631055</v>
      </c>
      <c r="G837" s="306">
        <f t="shared" ref="G837:G900" ca="1" si="388">G836+acc_x*pas</f>
        <v>7.4382548774027972</v>
      </c>
      <c r="H837" s="307">
        <f t="shared" ref="H837:H900" ca="1" si="389">H836+acc_z*pas</f>
        <v>-131.89981471717101</v>
      </c>
      <c r="I837" s="304">
        <f t="shared" ref="I837:I900" ca="1" si="390">SQRT(vit_x^2+vit_z^2)</f>
        <v>132.1093817941983</v>
      </c>
      <c r="J837" s="306">
        <f t="shared" ref="J837:J900" ca="1" si="391">J836+0.5*(vit_x+G836)*pas*(K836&gt;=0)</f>
        <v>515.22511340180665</v>
      </c>
      <c r="K837" s="307">
        <f t="shared" ref="K837:K900" ca="1" si="392">K836+0.5*(vit_z+H836)*pas</f>
        <v>-4.1738118712251184</v>
      </c>
      <c r="L837" s="304">
        <f t="shared" ca="1" si="377"/>
        <v>515.24201904099482</v>
      </c>
      <c r="M837" s="306">
        <f t="shared" ref="M837:M900" ca="1" si="393">IF(AND(L836&gt;L_rampe,G837&gt;0),ATAN2(G837,H837),$M$4)</f>
        <v>-1.5144627764306777</v>
      </c>
      <c r="N837" s="304">
        <f t="shared" ref="N837:N900" ca="1" si="394">DEGREES(Beta)</f>
        <v>-86.772325319142595</v>
      </c>
      <c r="P837" s="310">
        <f t="shared" ref="P837:P900" ca="1" si="395">MATCH(t-pas/2-T_ini,CdP_t)</f>
        <v>23</v>
      </c>
      <c r="Q837" s="304">
        <f t="shared" ref="Q837:Q900" ca="1" si="396">(INDEX(CdP,2,i_P+1)-INDEX(CdP,2,i_P+0))/(INDEX(CdP,1,i_P+1)-INDEX(CdP,1,i_P+0))*(t-pas/2-T_ini-INDEX(CdP,1,i_P+0))+INDEX(CdP,2,i_P+0)</f>
        <v>0</v>
      </c>
      <c r="R837" s="306">
        <f t="shared" ref="R837:R900" ca="1" si="397">Poussee/(g*ISP)</f>
        <v>0</v>
      </c>
      <c r="S837" s="307">
        <f t="shared" ref="S837:S900" ca="1" si="398">S836-Débit*pas</f>
        <v>7.4819999999999904</v>
      </c>
      <c r="T837" s="304">
        <f t="shared" ca="1" si="378"/>
        <v>73.398419999999916</v>
      </c>
      <c r="U837" s="311">
        <f t="shared" ca="1" si="379"/>
        <v>0</v>
      </c>
      <c r="V837" s="306">
        <f t="shared" ca="1" si="380"/>
        <v>1.2255113986783188</v>
      </c>
      <c r="W837" s="304">
        <f t="shared" ca="1" si="381"/>
        <v>56.545699276303182</v>
      </c>
      <c r="Y837" s="314" t="str">
        <f t="shared" ref="Y837:Y900" ca="1" si="399">IF(AND(pos_z&lt;=0,K836&gt;0),"Impact balistique","") &amp; IF(AND(H838&lt;0,vit_z&gt;=0),"Apogée","") &amp; IF(AND(Poussee=0,Q836&gt;0),"Fin de propulsion","") &amp; IF(AND(L838&gt;L_rampe,pos_xz&lt;=L_rampe),"Sortie de rampe","")</f>
        <v/>
      </c>
      <c r="Z837" s="315" t="str">
        <f t="shared" ref="Z837:Z900" ca="1" si="400">IF(ABS(t-T_para)&lt;pas/2,"Para","")</f>
        <v/>
      </c>
      <c r="AA837" s="316" t="str">
        <f t="shared" ref="AA837:AA900" ca="1" si="401">IF(ABS(t-T_satellite)&lt;pas/2,"Satellite","")</f>
        <v/>
      </c>
      <c r="AC837" s="310" t="e">
        <f t="shared" ref="AC837:AC900" ca="1" si="402">IF(ABS(t-ROUND(t,0))&lt;0.001,t,NA())</f>
        <v>#N/A</v>
      </c>
      <c r="AD837" s="323" t="e">
        <f t="shared" ref="AD837:AD900" ca="1" si="403">IF(ABS(t-ROUND(t,0))&lt;0.001,pos_x,NA())</f>
        <v>#N/A</v>
      </c>
      <c r="AE837" s="324" t="e">
        <f t="shared" ca="1" si="382"/>
        <v>#N/A</v>
      </c>
      <c r="AG837" s="306">
        <f t="shared" ref="AG837:AG900" ca="1" si="404">IF(AND(L836&lt;L_rampe,Poussee&lt;Poids*SIN(M836)),0,(-W836+Poussee)/m-Poids*SIN(M836)/m)</f>
        <v>2.2369088563195678</v>
      </c>
      <c r="AH837" s="304">
        <f t="shared" ref="AH837:AH900" ca="1" si="405">IF(AND(L836&lt;L_rampe,Poussee&lt;Poids*SIN(M836)), g*SIN(M836), (-W836+Poussee)/m)</f>
        <v>-7.557529163857426</v>
      </c>
    </row>
    <row r="838" spans="1:34" x14ac:dyDescent="0.2">
      <c r="A838" s="347">
        <f t="shared" ca="1" si="383"/>
        <v>1E-4</v>
      </c>
      <c r="B838" s="304">
        <f t="shared" ca="1" si="384"/>
        <v>37.709700000000545</v>
      </c>
      <c r="D838" s="306">
        <f t="shared" ca="1" si="385"/>
        <v>-0.42551930769324037</v>
      </c>
      <c r="E838" s="307">
        <f t="shared" ca="1" si="386"/>
        <v>-2.2644239518026907</v>
      </c>
      <c r="F838" s="304">
        <f t="shared" ca="1" si="387"/>
        <v>2.3040578366693509</v>
      </c>
      <c r="G838" s="306">
        <f t="shared" ca="1" si="388"/>
        <v>7.438212325472028</v>
      </c>
      <c r="H838" s="307">
        <f t="shared" ca="1" si="389"/>
        <v>-131.9000411595662</v>
      </c>
      <c r="I838" s="304">
        <f t="shared" ca="1" si="390"/>
        <v>132.1096054815624</v>
      </c>
      <c r="J838" s="306">
        <f t="shared" ca="1" si="391"/>
        <v>515.22511340180665</v>
      </c>
      <c r="K838" s="307">
        <f t="shared" ca="1" si="392"/>
        <v>-4.1870018640189555</v>
      </c>
      <c r="L838" s="304">
        <f t="shared" ca="1" si="377"/>
        <v>515.24212605775335</v>
      </c>
      <c r="M838" s="306">
        <f t="shared" ca="1" si="393"/>
        <v>-1.5144631945228217</v>
      </c>
      <c r="N838" s="304">
        <f t="shared" ca="1" si="394"/>
        <v>-86.772349274057902</v>
      </c>
      <c r="P838" s="310">
        <f t="shared" ca="1" si="395"/>
        <v>23</v>
      </c>
      <c r="Q838" s="304">
        <f t="shared" ca="1" si="396"/>
        <v>0</v>
      </c>
      <c r="R838" s="306">
        <f t="shared" ca="1" si="397"/>
        <v>0</v>
      </c>
      <c r="S838" s="307">
        <f t="shared" ca="1" si="398"/>
        <v>7.4819999999999904</v>
      </c>
      <c r="T838" s="304">
        <f t="shared" ca="1" si="378"/>
        <v>73.398419999999916</v>
      </c>
      <c r="U838" s="311">
        <f t="shared" ca="1" si="379"/>
        <v>0</v>
      </c>
      <c r="V838" s="306">
        <f t="shared" ca="1" si="380"/>
        <v>1.2255130151281073</v>
      </c>
      <c r="W838" s="304">
        <f t="shared" ca="1" si="381"/>
        <v>56.545965346656502</v>
      </c>
      <c r="Y838" s="314" t="str">
        <f t="shared" ca="1" si="399"/>
        <v/>
      </c>
      <c r="Z838" s="315" t="str">
        <f t="shared" ca="1" si="400"/>
        <v/>
      </c>
      <c r="AA838" s="316" t="str">
        <f t="shared" ca="1" si="401"/>
        <v/>
      </c>
      <c r="AC838" s="310" t="e">
        <f t="shared" ca="1" si="402"/>
        <v>#N/A</v>
      </c>
      <c r="AD838" s="323" t="e">
        <f t="shared" ca="1" si="403"/>
        <v>#N/A</v>
      </c>
      <c r="AE838" s="324" t="e">
        <f t="shared" ca="1" si="382"/>
        <v>#N/A</v>
      </c>
      <c r="AG838" s="306">
        <f t="shared" ca="1" si="404"/>
        <v>2.2368735255939169</v>
      </c>
      <c r="AH838" s="304">
        <f t="shared" ca="1" si="405"/>
        <v>-7.5575647255150029</v>
      </c>
    </row>
    <row r="839" spans="1:34" x14ac:dyDescent="0.2">
      <c r="A839" s="347">
        <f t="shared" ca="1" si="383"/>
        <v>1E-4</v>
      </c>
      <c r="B839" s="304">
        <f t="shared" ca="1" si="384"/>
        <v>37.709800000000548</v>
      </c>
      <c r="D839" s="306">
        <f t="shared" ca="1" si="385"/>
        <v>-0.42551815517249658</v>
      </c>
      <c r="E839" s="307">
        <f t="shared" ca="1" si="386"/>
        <v>-2.2643882689133461</v>
      </c>
      <c r="F839" s="304">
        <f t="shared" ca="1" si="387"/>
        <v>2.3040225547450235</v>
      </c>
      <c r="G839" s="306">
        <f t="shared" ca="1" si="388"/>
        <v>7.4381697736565107</v>
      </c>
      <c r="H839" s="307">
        <f t="shared" ca="1" si="389"/>
        <v>-131.9002675983931</v>
      </c>
      <c r="I839" s="304">
        <f t="shared" ca="1" si="390"/>
        <v>132.10982916539345</v>
      </c>
      <c r="J839" s="306">
        <f t="shared" ca="1" si="391"/>
        <v>515.22511340180665</v>
      </c>
      <c r="K839" s="307">
        <f t="shared" ca="1" si="392"/>
        <v>-4.2001918794568533</v>
      </c>
      <c r="L839" s="304">
        <f t="shared" ca="1" si="377"/>
        <v>515.24223341233278</v>
      </c>
      <c r="M839" s="306">
        <f t="shared" ca="1" si="393"/>
        <v>-1.5144636126111581</v>
      </c>
      <c r="N839" s="304">
        <f t="shared" ca="1" si="394"/>
        <v>-86.772373228755043</v>
      </c>
      <c r="P839" s="310">
        <f t="shared" ca="1" si="395"/>
        <v>23</v>
      </c>
      <c r="Q839" s="304">
        <f t="shared" ca="1" si="396"/>
        <v>0</v>
      </c>
      <c r="R839" s="306">
        <f t="shared" ca="1" si="397"/>
        <v>0</v>
      </c>
      <c r="S839" s="307">
        <f t="shared" ca="1" si="398"/>
        <v>7.4819999999999904</v>
      </c>
      <c r="T839" s="304">
        <f t="shared" ca="1" si="378"/>
        <v>73.398419999999916</v>
      </c>
      <c r="U839" s="311">
        <f t="shared" ca="1" si="379"/>
        <v>0</v>
      </c>
      <c r="V839" s="306">
        <f t="shared" ca="1" si="380"/>
        <v>1.2255146315828032</v>
      </c>
      <c r="W839" s="304">
        <f t="shared" ca="1" si="381"/>
        <v>56.546231415041149</v>
      </c>
      <c r="Y839" s="314" t="str">
        <f t="shared" ca="1" si="399"/>
        <v/>
      </c>
      <c r="Z839" s="315" t="str">
        <f t="shared" ca="1" si="400"/>
        <v/>
      </c>
      <c r="AA839" s="316" t="str">
        <f t="shared" ca="1" si="401"/>
        <v/>
      </c>
      <c r="AC839" s="310" t="e">
        <f t="shared" ca="1" si="402"/>
        <v>#N/A</v>
      </c>
      <c r="AD839" s="323" t="e">
        <f t="shared" ca="1" si="403"/>
        <v>#N/A</v>
      </c>
      <c r="AE839" s="324" t="e">
        <f t="shared" ca="1" si="382"/>
        <v>#N/A</v>
      </c>
      <c r="AG839" s="306">
        <f t="shared" ca="1" si="404"/>
        <v>2.2368381951275671</v>
      </c>
      <c r="AH839" s="304">
        <f t="shared" ca="1" si="405"/>
        <v>-7.5576002869094596</v>
      </c>
    </row>
    <row r="840" spans="1:34" x14ac:dyDescent="0.2">
      <c r="A840" s="347">
        <f t="shared" ca="1" si="383"/>
        <v>1E-4</v>
      </c>
      <c r="B840" s="304">
        <f t="shared" ca="1" si="384"/>
        <v>37.709900000000552</v>
      </c>
      <c r="D840" s="306">
        <f t="shared" ca="1" si="385"/>
        <v>-0.42551700263590614</v>
      </c>
      <c r="E840" s="307">
        <f t="shared" ca="1" si="386"/>
        <v>-2.2643525862879699</v>
      </c>
      <c r="F840" s="304">
        <f t="shared" ca="1" si="387"/>
        <v>2.3039872730901236</v>
      </c>
      <c r="G840" s="306">
        <f t="shared" ca="1" si="388"/>
        <v>7.4381272219562469</v>
      </c>
      <c r="H840" s="307">
        <f t="shared" ca="1" si="389"/>
        <v>-131.90049403365174</v>
      </c>
      <c r="I840" s="304">
        <f t="shared" ca="1" si="390"/>
        <v>132.11005284569151</v>
      </c>
      <c r="J840" s="306">
        <f t="shared" ca="1" si="391"/>
        <v>515.22511340180665</v>
      </c>
      <c r="K840" s="307">
        <f t="shared" ca="1" si="392"/>
        <v>-4.2133819175384559</v>
      </c>
      <c r="L840" s="304">
        <f t="shared" ca="1" si="377"/>
        <v>515.24234110473446</v>
      </c>
      <c r="M840" s="306">
        <f t="shared" ca="1" si="393"/>
        <v>-1.5144640306956869</v>
      </c>
      <c r="N840" s="304">
        <f t="shared" ca="1" si="394"/>
        <v>-86.77239718323402</v>
      </c>
      <c r="P840" s="310">
        <f t="shared" ca="1" si="395"/>
        <v>23</v>
      </c>
      <c r="Q840" s="304">
        <f t="shared" ca="1" si="396"/>
        <v>0</v>
      </c>
      <c r="R840" s="306">
        <f t="shared" ca="1" si="397"/>
        <v>0</v>
      </c>
      <c r="S840" s="307">
        <f t="shared" ca="1" si="398"/>
        <v>7.4819999999999904</v>
      </c>
      <c r="T840" s="304">
        <f t="shared" ca="1" si="378"/>
        <v>73.398419999999916</v>
      </c>
      <c r="U840" s="311">
        <f t="shared" ca="1" si="379"/>
        <v>0</v>
      </c>
      <c r="V840" s="306">
        <f t="shared" ca="1" si="380"/>
        <v>1.2255162480424071</v>
      </c>
      <c r="W840" s="304">
        <f t="shared" ca="1" si="381"/>
        <v>56.546497481457209</v>
      </c>
      <c r="Y840" s="314" t="str">
        <f t="shared" ca="1" si="399"/>
        <v/>
      </c>
      <c r="Z840" s="315" t="str">
        <f t="shared" ca="1" si="400"/>
        <v/>
      </c>
      <c r="AA840" s="316" t="str">
        <f t="shared" ca="1" si="401"/>
        <v/>
      </c>
      <c r="AC840" s="310" t="e">
        <f t="shared" ca="1" si="402"/>
        <v>#N/A</v>
      </c>
      <c r="AD840" s="323" t="e">
        <f t="shared" ca="1" si="403"/>
        <v>#N/A</v>
      </c>
      <c r="AE840" s="324" t="e">
        <f t="shared" ca="1" si="382"/>
        <v>#N/A</v>
      </c>
      <c r="AG840" s="306">
        <f t="shared" ca="1" si="404"/>
        <v>2.2368028649205289</v>
      </c>
      <c r="AH840" s="304">
        <f t="shared" ca="1" si="405"/>
        <v>-7.5576358480407944</v>
      </c>
    </row>
    <row r="841" spans="1:34" x14ac:dyDescent="0.2">
      <c r="A841" s="347">
        <f t="shared" ca="1" si="383"/>
        <v>1E-4</v>
      </c>
      <c r="B841" s="304">
        <f t="shared" ca="1" si="384"/>
        <v>37.710000000000555</v>
      </c>
      <c r="D841" s="306">
        <f t="shared" ca="1" si="385"/>
        <v>-0.42551585008347048</v>
      </c>
      <c r="E841" s="307">
        <f t="shared" ca="1" si="386"/>
        <v>-2.2643169039265514</v>
      </c>
      <c r="F841" s="304">
        <f t="shared" ca="1" si="387"/>
        <v>2.3039519917046407</v>
      </c>
      <c r="G841" s="306">
        <f t="shared" ca="1" si="388"/>
        <v>7.4380846703712384</v>
      </c>
      <c r="H841" s="307">
        <f t="shared" ca="1" si="389"/>
        <v>-131.90072046534212</v>
      </c>
      <c r="I841" s="304">
        <f t="shared" ca="1" si="390"/>
        <v>132.11027652245656</v>
      </c>
      <c r="J841" s="306">
        <f t="shared" ca="1" si="391"/>
        <v>515.22511340180665</v>
      </c>
      <c r="K841" s="307">
        <f t="shared" ca="1" si="392"/>
        <v>-4.2265719782634052</v>
      </c>
      <c r="L841" s="304">
        <f t="shared" ca="1" si="377"/>
        <v>515.24244913496011</v>
      </c>
      <c r="M841" s="306">
        <f t="shared" ca="1" si="393"/>
        <v>-1.5144644487764083</v>
      </c>
      <c r="N841" s="304">
        <f t="shared" ca="1" si="394"/>
        <v>-86.772421137494845</v>
      </c>
      <c r="P841" s="310">
        <f t="shared" ca="1" si="395"/>
        <v>23</v>
      </c>
      <c r="Q841" s="304">
        <f t="shared" ca="1" si="396"/>
        <v>0</v>
      </c>
      <c r="R841" s="306">
        <f t="shared" ca="1" si="397"/>
        <v>0</v>
      </c>
      <c r="S841" s="307">
        <f t="shared" ca="1" si="398"/>
        <v>7.4819999999999904</v>
      </c>
      <c r="T841" s="304">
        <f t="shared" ca="1" si="378"/>
        <v>73.398419999999916</v>
      </c>
      <c r="U841" s="311">
        <f t="shared" ca="1" si="379"/>
        <v>0</v>
      </c>
      <c r="V841" s="306">
        <f t="shared" ca="1" si="380"/>
        <v>1.2255178645069178</v>
      </c>
      <c r="W841" s="304">
        <f t="shared" ca="1" si="381"/>
        <v>56.54676354590454</v>
      </c>
      <c r="Y841" s="314" t="str">
        <f t="shared" ca="1" si="399"/>
        <v/>
      </c>
      <c r="Z841" s="315" t="str">
        <f t="shared" ca="1" si="400"/>
        <v/>
      </c>
      <c r="AA841" s="316" t="str">
        <f t="shared" ca="1" si="401"/>
        <v/>
      </c>
      <c r="AC841" s="310" t="e">
        <f t="shared" ca="1" si="402"/>
        <v>#N/A</v>
      </c>
      <c r="AD841" s="323" t="e">
        <f t="shared" ca="1" si="403"/>
        <v>#N/A</v>
      </c>
      <c r="AE841" s="324" t="e">
        <f t="shared" ca="1" si="382"/>
        <v>#N/A</v>
      </c>
      <c r="AG841" s="306">
        <f t="shared" ca="1" si="404"/>
        <v>2.2367675349727811</v>
      </c>
      <c r="AH841" s="304">
        <f t="shared" ca="1" si="405"/>
        <v>-7.5576714089090196</v>
      </c>
    </row>
    <row r="842" spans="1:34" x14ac:dyDescent="0.2">
      <c r="A842" s="347">
        <f t="shared" ca="1" si="383"/>
        <v>1E-4</v>
      </c>
      <c r="B842" s="304">
        <f t="shared" ca="1" si="384"/>
        <v>37.710100000000558</v>
      </c>
      <c r="D842" s="306">
        <f t="shared" ca="1" si="385"/>
        <v>-0.4255146975151875</v>
      </c>
      <c r="E842" s="307">
        <f t="shared" ca="1" si="386"/>
        <v>-2.2642812218291102</v>
      </c>
      <c r="F842" s="304">
        <f t="shared" ca="1" si="387"/>
        <v>2.3039167105885947</v>
      </c>
      <c r="G842" s="306">
        <f t="shared" ca="1" si="388"/>
        <v>7.4380421189014871</v>
      </c>
      <c r="H842" s="307">
        <f t="shared" ca="1" si="389"/>
        <v>-131.90094689346429</v>
      </c>
      <c r="I842" s="304">
        <f t="shared" ca="1" si="390"/>
        <v>132.11050019568862</v>
      </c>
      <c r="J842" s="306">
        <f t="shared" ca="1" si="391"/>
        <v>515.22511340180665</v>
      </c>
      <c r="K842" s="307">
        <f t="shared" ca="1" si="392"/>
        <v>-4.2397620616313452</v>
      </c>
      <c r="L842" s="304">
        <f t="shared" ca="1" si="377"/>
        <v>515.2425575030112</v>
      </c>
      <c r="M842" s="306">
        <f t="shared" ca="1" si="393"/>
        <v>-1.5144648668533223</v>
      </c>
      <c r="N842" s="304">
        <f t="shared" ca="1" si="394"/>
        <v>-86.772445091537534</v>
      </c>
      <c r="P842" s="310">
        <f t="shared" ca="1" si="395"/>
        <v>23</v>
      </c>
      <c r="Q842" s="304">
        <f t="shared" ca="1" si="396"/>
        <v>0</v>
      </c>
      <c r="R842" s="306">
        <f t="shared" ca="1" si="397"/>
        <v>0</v>
      </c>
      <c r="S842" s="307">
        <f t="shared" ca="1" si="398"/>
        <v>7.4819999999999904</v>
      </c>
      <c r="T842" s="304">
        <f t="shared" ca="1" si="378"/>
        <v>73.398419999999916</v>
      </c>
      <c r="U842" s="311">
        <f t="shared" ca="1" si="379"/>
        <v>0</v>
      </c>
      <c r="V842" s="306">
        <f t="shared" ca="1" si="380"/>
        <v>1.2255194809763368</v>
      </c>
      <c r="W842" s="304">
        <f t="shared" ca="1" si="381"/>
        <v>56.547029608383227</v>
      </c>
      <c r="Y842" s="314" t="str">
        <f t="shared" ca="1" si="399"/>
        <v/>
      </c>
      <c r="Z842" s="315" t="str">
        <f t="shared" ca="1" si="400"/>
        <v/>
      </c>
      <c r="AA842" s="316" t="str">
        <f t="shared" ca="1" si="401"/>
        <v/>
      </c>
      <c r="AC842" s="310" t="e">
        <f t="shared" ca="1" si="402"/>
        <v>#N/A</v>
      </c>
      <c r="AD842" s="323" t="e">
        <f t="shared" ca="1" si="403"/>
        <v>#N/A</v>
      </c>
      <c r="AE842" s="324" t="e">
        <f t="shared" ca="1" si="382"/>
        <v>#N/A</v>
      </c>
      <c r="AG842" s="306">
        <f t="shared" ca="1" si="404"/>
        <v>2.2367322052843503</v>
      </c>
      <c r="AH842" s="304">
        <f t="shared" ca="1" si="405"/>
        <v>-7.5577069695141157</v>
      </c>
    </row>
    <row r="843" spans="1:34" x14ac:dyDescent="0.2">
      <c r="A843" s="347">
        <f t="shared" ca="1" si="383"/>
        <v>1E-4</v>
      </c>
      <c r="B843" s="304">
        <f t="shared" ca="1" si="384"/>
        <v>37.710200000000562</v>
      </c>
      <c r="D843" s="306">
        <f t="shared" ca="1" si="385"/>
        <v>-0.4255135449310587</v>
      </c>
      <c r="E843" s="307">
        <f t="shared" ca="1" si="386"/>
        <v>-2.2642455399956329</v>
      </c>
      <c r="F843" s="304">
        <f t="shared" ca="1" si="387"/>
        <v>2.3038814297419714</v>
      </c>
      <c r="G843" s="306">
        <f t="shared" ca="1" si="388"/>
        <v>7.4379995675469939</v>
      </c>
      <c r="H843" s="307">
        <f t="shared" ca="1" si="389"/>
        <v>-131.90117331801829</v>
      </c>
      <c r="I843" s="304">
        <f t="shared" ca="1" si="390"/>
        <v>132.11072386538774</v>
      </c>
      <c r="J843" s="306">
        <f t="shared" ca="1" si="391"/>
        <v>515.22511340180665</v>
      </c>
      <c r="K843" s="307">
        <f t="shared" ca="1" si="392"/>
        <v>-4.2529521676419195</v>
      </c>
      <c r="L843" s="304">
        <f t="shared" ca="1" si="377"/>
        <v>515.2426662088892</v>
      </c>
      <c r="M843" s="306">
        <f t="shared" ca="1" si="393"/>
        <v>-1.5144652849264291</v>
      </c>
      <c r="N843" s="304">
        <f t="shared" ca="1" si="394"/>
        <v>-86.772469045362072</v>
      </c>
      <c r="P843" s="310">
        <f t="shared" ca="1" si="395"/>
        <v>23</v>
      </c>
      <c r="Q843" s="304">
        <f t="shared" ca="1" si="396"/>
        <v>0</v>
      </c>
      <c r="R843" s="306">
        <f t="shared" ca="1" si="397"/>
        <v>0</v>
      </c>
      <c r="S843" s="307">
        <f t="shared" ca="1" si="398"/>
        <v>7.4819999999999904</v>
      </c>
      <c r="T843" s="304">
        <f t="shared" ca="1" si="378"/>
        <v>73.398419999999916</v>
      </c>
      <c r="U843" s="311">
        <f t="shared" ca="1" si="379"/>
        <v>0</v>
      </c>
      <c r="V843" s="306">
        <f t="shared" ca="1" si="380"/>
        <v>1.2255210974506627</v>
      </c>
      <c r="W843" s="304">
        <f t="shared" ca="1" si="381"/>
        <v>56.547295668893241</v>
      </c>
      <c r="Y843" s="314" t="str">
        <f t="shared" ca="1" si="399"/>
        <v/>
      </c>
      <c r="Z843" s="315" t="str">
        <f t="shared" ca="1" si="400"/>
        <v/>
      </c>
      <c r="AA843" s="316" t="str">
        <f t="shared" ca="1" si="401"/>
        <v/>
      </c>
      <c r="AC843" s="310" t="e">
        <f t="shared" ca="1" si="402"/>
        <v>#N/A</v>
      </c>
      <c r="AD843" s="323" t="e">
        <f t="shared" ca="1" si="403"/>
        <v>#N/A</v>
      </c>
      <c r="AE843" s="324" t="e">
        <f t="shared" ca="1" si="382"/>
        <v>#N/A</v>
      </c>
      <c r="AG843" s="306">
        <f t="shared" ca="1" si="404"/>
        <v>2.2366968758552197</v>
      </c>
      <c r="AH843" s="304">
        <f t="shared" ca="1" si="405"/>
        <v>-7.5577425298560943</v>
      </c>
    </row>
    <row r="844" spans="1:34" x14ac:dyDescent="0.2">
      <c r="A844" s="347">
        <f t="shared" ca="1" si="383"/>
        <v>1E-4</v>
      </c>
      <c r="B844" s="304">
        <f t="shared" ca="1" si="384"/>
        <v>37.710300000000565</v>
      </c>
      <c r="D844" s="306">
        <f t="shared" ca="1" si="385"/>
        <v>-0.4255123923310829</v>
      </c>
      <c r="E844" s="307">
        <f t="shared" ca="1" si="386"/>
        <v>-2.2642098584261241</v>
      </c>
      <c r="F844" s="304">
        <f t="shared" ca="1" si="387"/>
        <v>2.3038461491647766</v>
      </c>
      <c r="G844" s="306">
        <f t="shared" ca="1" si="388"/>
        <v>7.4379570163077604</v>
      </c>
      <c r="H844" s="307">
        <f t="shared" ca="1" si="389"/>
        <v>-131.90139973900415</v>
      </c>
      <c r="I844" s="304">
        <f t="shared" ca="1" si="390"/>
        <v>132.11094753155396</v>
      </c>
      <c r="J844" s="306">
        <f t="shared" ca="1" si="391"/>
        <v>515.22511340180665</v>
      </c>
      <c r="K844" s="307">
        <f t="shared" ca="1" si="392"/>
        <v>-4.2661422962947704</v>
      </c>
      <c r="L844" s="304">
        <f t="shared" ca="1" si="377"/>
        <v>515.24277525259561</v>
      </c>
      <c r="M844" s="306">
        <f t="shared" ca="1" si="393"/>
        <v>-1.5144657029957282</v>
      </c>
      <c r="N844" s="304">
        <f t="shared" ca="1" si="394"/>
        <v>-86.77249299896846</v>
      </c>
      <c r="P844" s="310">
        <f t="shared" ca="1" si="395"/>
        <v>23</v>
      </c>
      <c r="Q844" s="304">
        <f t="shared" ca="1" si="396"/>
        <v>0</v>
      </c>
      <c r="R844" s="306">
        <f t="shared" ca="1" si="397"/>
        <v>0</v>
      </c>
      <c r="S844" s="307">
        <f t="shared" ca="1" si="398"/>
        <v>7.4819999999999904</v>
      </c>
      <c r="T844" s="304">
        <f t="shared" ca="1" si="378"/>
        <v>73.398419999999916</v>
      </c>
      <c r="U844" s="311">
        <f t="shared" ca="1" si="379"/>
        <v>0</v>
      </c>
      <c r="V844" s="306">
        <f t="shared" ca="1" si="380"/>
        <v>1.2255227139298965</v>
      </c>
      <c r="W844" s="304">
        <f t="shared" ca="1" si="381"/>
        <v>56.547561727434612</v>
      </c>
      <c r="Y844" s="314" t="str">
        <f t="shared" ca="1" si="399"/>
        <v/>
      </c>
      <c r="Z844" s="315" t="str">
        <f t="shared" ca="1" si="400"/>
        <v/>
      </c>
      <c r="AA844" s="316" t="str">
        <f t="shared" ca="1" si="401"/>
        <v/>
      </c>
      <c r="AC844" s="310" t="e">
        <f t="shared" ca="1" si="402"/>
        <v>#N/A</v>
      </c>
      <c r="AD844" s="323" t="e">
        <f t="shared" ca="1" si="403"/>
        <v>#N/A</v>
      </c>
      <c r="AE844" s="324" t="e">
        <f t="shared" ca="1" si="382"/>
        <v>#N/A</v>
      </c>
      <c r="AG844" s="306">
        <f t="shared" ca="1" si="404"/>
        <v>2.2366615466853972</v>
      </c>
      <c r="AH844" s="304">
        <f t="shared" ca="1" si="405"/>
        <v>-7.5577780899349527</v>
      </c>
    </row>
    <row r="845" spans="1:34" x14ac:dyDescent="0.2">
      <c r="A845" s="347">
        <f t="shared" ca="1" si="383"/>
        <v>1E-4</v>
      </c>
      <c r="B845" s="304">
        <f t="shared" ca="1" si="384"/>
        <v>37.710400000000568</v>
      </c>
      <c r="D845" s="306">
        <f t="shared" ca="1" si="385"/>
        <v>-0.42551123971526439</v>
      </c>
      <c r="E845" s="307">
        <f t="shared" ca="1" si="386"/>
        <v>-2.264174177120581</v>
      </c>
      <c r="F845" s="304">
        <f t="shared" ca="1" si="387"/>
        <v>2.3038108688570076</v>
      </c>
      <c r="G845" s="306">
        <f t="shared" ca="1" si="388"/>
        <v>7.4379144651837885</v>
      </c>
      <c r="H845" s="307">
        <f t="shared" ca="1" si="389"/>
        <v>-131.90162615642186</v>
      </c>
      <c r="I845" s="304">
        <f t="shared" ca="1" si="390"/>
        <v>132.11117119418728</v>
      </c>
      <c r="J845" s="306">
        <f t="shared" ca="1" si="391"/>
        <v>515.22511340180665</v>
      </c>
      <c r="K845" s="307">
        <f t="shared" ca="1" si="392"/>
        <v>-4.2793324475895416</v>
      </c>
      <c r="L845" s="304">
        <f t="shared" ca="1" si="377"/>
        <v>515.24288463413211</v>
      </c>
      <c r="M845" s="306">
        <f t="shared" ca="1" si="393"/>
        <v>-1.5144661210612202</v>
      </c>
      <c r="N845" s="304">
        <f t="shared" ca="1" si="394"/>
        <v>-86.77251695235671</v>
      </c>
      <c r="P845" s="310">
        <f t="shared" ca="1" si="395"/>
        <v>23</v>
      </c>
      <c r="Q845" s="304">
        <f t="shared" ca="1" si="396"/>
        <v>0</v>
      </c>
      <c r="R845" s="306">
        <f t="shared" ca="1" si="397"/>
        <v>0</v>
      </c>
      <c r="S845" s="307">
        <f t="shared" ca="1" si="398"/>
        <v>7.4819999999999904</v>
      </c>
      <c r="T845" s="304">
        <f t="shared" ca="1" si="378"/>
        <v>73.398419999999916</v>
      </c>
      <c r="U845" s="311">
        <f t="shared" ca="1" si="379"/>
        <v>0</v>
      </c>
      <c r="V845" s="306">
        <f t="shared" ca="1" si="380"/>
        <v>1.2255243304140375</v>
      </c>
      <c r="W845" s="304">
        <f t="shared" ca="1" si="381"/>
        <v>56.547827784007296</v>
      </c>
      <c r="Y845" s="314" t="str">
        <f t="shared" ca="1" si="399"/>
        <v/>
      </c>
      <c r="Z845" s="315" t="str">
        <f t="shared" ca="1" si="400"/>
        <v/>
      </c>
      <c r="AA845" s="316" t="str">
        <f t="shared" ca="1" si="401"/>
        <v/>
      </c>
      <c r="AC845" s="310" t="e">
        <f t="shared" ca="1" si="402"/>
        <v>#N/A</v>
      </c>
      <c r="AD845" s="323" t="e">
        <f t="shared" ca="1" si="403"/>
        <v>#N/A</v>
      </c>
      <c r="AE845" s="324" t="e">
        <f t="shared" ca="1" si="382"/>
        <v>#N/A</v>
      </c>
      <c r="AG845" s="306">
        <f t="shared" ca="1" si="404"/>
        <v>2.2366262177748757</v>
      </c>
      <c r="AH845" s="304">
        <f t="shared" ca="1" si="405"/>
        <v>-7.5578136497506927</v>
      </c>
    </row>
    <row r="846" spans="1:34" x14ac:dyDescent="0.2">
      <c r="A846" s="347">
        <f t="shared" ca="1" si="383"/>
        <v>1E-4</v>
      </c>
      <c r="B846" s="304">
        <f t="shared" ca="1" si="384"/>
        <v>37.710500000000572</v>
      </c>
      <c r="D846" s="306">
        <f t="shared" ca="1" si="385"/>
        <v>-0.42551008708360022</v>
      </c>
      <c r="E846" s="307">
        <f t="shared" ca="1" si="386"/>
        <v>-2.2641384960790081</v>
      </c>
      <c r="F846" s="304">
        <f t="shared" ca="1" si="387"/>
        <v>2.3037755888186693</v>
      </c>
      <c r="G846" s="306">
        <f t="shared" ca="1" si="388"/>
        <v>7.43787191417508</v>
      </c>
      <c r="H846" s="307">
        <f t="shared" ca="1" si="389"/>
        <v>-131.90185257027147</v>
      </c>
      <c r="I846" s="304">
        <f t="shared" ca="1" si="390"/>
        <v>132.11139485328778</v>
      </c>
      <c r="J846" s="306">
        <f t="shared" ca="1" si="391"/>
        <v>515.22511340180665</v>
      </c>
      <c r="K846" s="307">
        <f t="shared" ca="1" si="392"/>
        <v>-4.292522621525876</v>
      </c>
      <c r="L846" s="304">
        <f t="shared" ca="1" si="377"/>
        <v>515.24299435349997</v>
      </c>
      <c r="M846" s="306">
        <f t="shared" ca="1" si="393"/>
        <v>-1.5144665391229053</v>
      </c>
      <c r="N846" s="304">
        <f t="shared" ca="1" si="394"/>
        <v>-86.772540905526839</v>
      </c>
      <c r="P846" s="310">
        <f t="shared" ca="1" si="395"/>
        <v>23</v>
      </c>
      <c r="Q846" s="304">
        <f t="shared" ca="1" si="396"/>
        <v>0</v>
      </c>
      <c r="R846" s="306">
        <f t="shared" ca="1" si="397"/>
        <v>0</v>
      </c>
      <c r="S846" s="307">
        <f t="shared" ca="1" si="398"/>
        <v>7.4819999999999904</v>
      </c>
      <c r="T846" s="304">
        <f t="shared" ca="1" si="378"/>
        <v>73.398419999999916</v>
      </c>
      <c r="U846" s="311">
        <f t="shared" ca="1" si="379"/>
        <v>0</v>
      </c>
      <c r="V846" s="306">
        <f t="shared" ca="1" si="380"/>
        <v>1.2255259469030859</v>
      </c>
      <c r="W846" s="304">
        <f t="shared" ca="1" si="381"/>
        <v>56.548093838611337</v>
      </c>
      <c r="Y846" s="314" t="str">
        <f t="shared" ca="1" si="399"/>
        <v/>
      </c>
      <c r="Z846" s="315" t="str">
        <f t="shared" ca="1" si="400"/>
        <v/>
      </c>
      <c r="AA846" s="316" t="str">
        <f t="shared" ca="1" si="401"/>
        <v/>
      </c>
      <c r="AC846" s="310" t="e">
        <f t="shared" ca="1" si="402"/>
        <v>#N/A</v>
      </c>
      <c r="AD846" s="323" t="e">
        <f t="shared" ca="1" si="403"/>
        <v>#N/A</v>
      </c>
      <c r="AE846" s="324" t="e">
        <f t="shared" ca="1" si="382"/>
        <v>#N/A</v>
      </c>
      <c r="AG846" s="306">
        <f t="shared" ca="1" si="404"/>
        <v>2.2365908891236623</v>
      </c>
      <c r="AH846" s="304">
        <f t="shared" ca="1" si="405"/>
        <v>-7.5578492093033107</v>
      </c>
    </row>
    <row r="847" spans="1:34" x14ac:dyDescent="0.2">
      <c r="A847" s="347">
        <f t="shared" ca="1" si="383"/>
        <v>1E-4</v>
      </c>
      <c r="B847" s="304">
        <f t="shared" ca="1" si="384"/>
        <v>37.710600000000575</v>
      </c>
      <c r="D847" s="306">
        <f t="shared" ca="1" si="385"/>
        <v>-0.42550893443608973</v>
      </c>
      <c r="E847" s="307">
        <f t="shared" ca="1" si="386"/>
        <v>-2.2641028153014009</v>
      </c>
      <c r="F847" s="304">
        <f t="shared" ca="1" si="387"/>
        <v>2.3037403090497564</v>
      </c>
      <c r="G847" s="306">
        <f t="shared" ca="1" si="388"/>
        <v>7.4378293632816366</v>
      </c>
      <c r="H847" s="307">
        <f t="shared" ca="1" si="389"/>
        <v>-131.902078980553</v>
      </c>
      <c r="I847" s="304">
        <f t="shared" ca="1" si="390"/>
        <v>132.11161850885537</v>
      </c>
      <c r="J847" s="306">
        <f t="shared" ca="1" si="391"/>
        <v>515.22511340180665</v>
      </c>
      <c r="K847" s="307">
        <f t="shared" ca="1" si="392"/>
        <v>-4.3057128181034177</v>
      </c>
      <c r="L847" s="304">
        <f t="shared" ca="1" si="377"/>
        <v>515.24310441070099</v>
      </c>
      <c r="M847" s="306">
        <f t="shared" ca="1" si="393"/>
        <v>-1.5144669571807829</v>
      </c>
      <c r="N847" s="304">
        <f t="shared" ca="1" si="394"/>
        <v>-86.77256485847883</v>
      </c>
      <c r="P847" s="310">
        <f t="shared" ca="1" si="395"/>
        <v>23</v>
      </c>
      <c r="Q847" s="304">
        <f t="shared" ca="1" si="396"/>
        <v>0</v>
      </c>
      <c r="R847" s="306">
        <f t="shared" ca="1" si="397"/>
        <v>0</v>
      </c>
      <c r="S847" s="307">
        <f t="shared" ca="1" si="398"/>
        <v>7.4819999999999904</v>
      </c>
      <c r="T847" s="304">
        <f t="shared" ca="1" si="378"/>
        <v>73.398419999999916</v>
      </c>
      <c r="U847" s="311">
        <f t="shared" ca="1" si="379"/>
        <v>0</v>
      </c>
      <c r="V847" s="306">
        <f t="shared" ca="1" si="380"/>
        <v>1.2255275633970417</v>
      </c>
      <c r="W847" s="304">
        <f t="shared" ca="1" si="381"/>
        <v>56.548359891246648</v>
      </c>
      <c r="Y847" s="314" t="str">
        <f t="shared" ca="1" si="399"/>
        <v/>
      </c>
      <c r="Z847" s="315" t="str">
        <f t="shared" ca="1" si="400"/>
        <v/>
      </c>
      <c r="AA847" s="316" t="str">
        <f t="shared" ca="1" si="401"/>
        <v/>
      </c>
      <c r="AC847" s="310" t="e">
        <f t="shared" ca="1" si="402"/>
        <v>#N/A</v>
      </c>
      <c r="AD847" s="323" t="e">
        <f t="shared" ca="1" si="403"/>
        <v>#N/A</v>
      </c>
      <c r="AE847" s="324" t="e">
        <f t="shared" ca="1" si="382"/>
        <v>#N/A</v>
      </c>
      <c r="AG847" s="306">
        <f t="shared" ca="1" si="404"/>
        <v>2.2365555607317553</v>
      </c>
      <c r="AH847" s="304">
        <f t="shared" ca="1" si="405"/>
        <v>-7.5578847685928103</v>
      </c>
    </row>
    <row r="848" spans="1:34" x14ac:dyDescent="0.2">
      <c r="A848" s="347">
        <f t="shared" ca="1" si="383"/>
        <v>1E-4</v>
      </c>
      <c r="B848" s="304">
        <f t="shared" ca="1" si="384"/>
        <v>37.710700000000578</v>
      </c>
      <c r="D848" s="306">
        <f t="shared" ca="1" si="385"/>
        <v>-0.42550778177273646</v>
      </c>
      <c r="E848" s="307">
        <f t="shared" ca="1" si="386"/>
        <v>-2.2640671347877683</v>
      </c>
      <c r="F848" s="304">
        <f t="shared" ca="1" si="387"/>
        <v>2.3037050295502786</v>
      </c>
      <c r="G848" s="306">
        <f t="shared" ca="1" si="388"/>
        <v>7.4377868125034592</v>
      </c>
      <c r="H848" s="307">
        <f t="shared" ca="1" si="389"/>
        <v>-131.90230538726647</v>
      </c>
      <c r="I848" s="304">
        <f t="shared" ca="1" si="390"/>
        <v>132.11184216089018</v>
      </c>
      <c r="J848" s="306">
        <f t="shared" ca="1" si="391"/>
        <v>515.22511340180665</v>
      </c>
      <c r="K848" s="307">
        <f t="shared" ca="1" si="392"/>
        <v>-4.3189030373218085</v>
      </c>
      <c r="L848" s="304">
        <f t="shared" ca="1" si="377"/>
        <v>515.24321480573656</v>
      </c>
      <c r="M848" s="306">
        <f t="shared" ca="1" si="393"/>
        <v>-1.5144673752348534</v>
      </c>
      <c r="N848" s="304">
        <f t="shared" ca="1" si="394"/>
        <v>-86.772588811212671</v>
      </c>
      <c r="P848" s="310">
        <f t="shared" ca="1" si="395"/>
        <v>23</v>
      </c>
      <c r="Q848" s="304">
        <f t="shared" ca="1" si="396"/>
        <v>0</v>
      </c>
      <c r="R848" s="306">
        <f t="shared" ca="1" si="397"/>
        <v>0</v>
      </c>
      <c r="S848" s="307">
        <f t="shared" ca="1" si="398"/>
        <v>7.4819999999999904</v>
      </c>
      <c r="T848" s="304">
        <f t="shared" ca="1" si="378"/>
        <v>73.398419999999916</v>
      </c>
      <c r="U848" s="311">
        <f t="shared" ca="1" si="379"/>
        <v>0</v>
      </c>
      <c r="V848" s="306">
        <f t="shared" ca="1" si="380"/>
        <v>1.2255291798959049</v>
      </c>
      <c r="W848" s="304">
        <f t="shared" ca="1" si="381"/>
        <v>56.548625941913308</v>
      </c>
      <c r="Y848" s="314" t="str">
        <f t="shared" ca="1" si="399"/>
        <v/>
      </c>
      <c r="Z848" s="315" t="str">
        <f t="shared" ca="1" si="400"/>
        <v/>
      </c>
      <c r="AA848" s="316" t="str">
        <f t="shared" ca="1" si="401"/>
        <v/>
      </c>
      <c r="AC848" s="310" t="e">
        <f t="shared" ca="1" si="402"/>
        <v>#N/A</v>
      </c>
      <c r="AD848" s="323" t="e">
        <f t="shared" ca="1" si="403"/>
        <v>#N/A</v>
      </c>
      <c r="AE848" s="324" t="e">
        <f t="shared" ca="1" si="382"/>
        <v>#N/A</v>
      </c>
      <c r="AG848" s="306">
        <f t="shared" ca="1" si="404"/>
        <v>2.2365202325991591</v>
      </c>
      <c r="AH848" s="304">
        <f t="shared" ca="1" si="405"/>
        <v>-7.5579203276191818</v>
      </c>
    </row>
    <row r="849" spans="1:34" x14ac:dyDescent="0.2">
      <c r="A849" s="347">
        <f t="shared" ca="1" si="383"/>
        <v>1E-4</v>
      </c>
      <c r="B849" s="304">
        <f t="shared" ca="1" si="384"/>
        <v>37.710800000000582</v>
      </c>
      <c r="D849" s="306">
        <f t="shared" ca="1" si="385"/>
        <v>-0.42550662909354003</v>
      </c>
      <c r="E849" s="307">
        <f t="shared" ca="1" si="386"/>
        <v>-2.2640314545381033</v>
      </c>
      <c r="F849" s="304">
        <f t="shared" ca="1" si="387"/>
        <v>2.3036697503202292</v>
      </c>
      <c r="G849" s="306">
        <f t="shared" ca="1" si="388"/>
        <v>7.4377442618405496</v>
      </c>
      <c r="H849" s="307">
        <f t="shared" ca="1" si="389"/>
        <v>-131.90253179041193</v>
      </c>
      <c r="I849" s="304">
        <f t="shared" ca="1" si="390"/>
        <v>132.11206580939219</v>
      </c>
      <c r="J849" s="306">
        <f t="shared" ca="1" si="391"/>
        <v>515.22511340180665</v>
      </c>
      <c r="K849" s="307">
        <f t="shared" ca="1" si="392"/>
        <v>-4.3320932791806923</v>
      </c>
      <c r="L849" s="304">
        <f t="shared" ca="1" si="377"/>
        <v>515.24332553860813</v>
      </c>
      <c r="M849" s="306">
        <f t="shared" ca="1" si="393"/>
        <v>-1.5144677932851169</v>
      </c>
      <c r="N849" s="304">
        <f t="shared" ca="1" si="394"/>
        <v>-86.772612763728404</v>
      </c>
      <c r="P849" s="310">
        <f t="shared" ca="1" si="395"/>
        <v>23</v>
      </c>
      <c r="Q849" s="304">
        <f t="shared" ca="1" si="396"/>
        <v>0</v>
      </c>
      <c r="R849" s="306">
        <f t="shared" ca="1" si="397"/>
        <v>0</v>
      </c>
      <c r="S849" s="307">
        <f t="shared" ca="1" si="398"/>
        <v>7.4819999999999904</v>
      </c>
      <c r="T849" s="304">
        <f t="shared" ca="1" si="378"/>
        <v>73.398419999999916</v>
      </c>
      <c r="U849" s="311">
        <f t="shared" ca="1" si="379"/>
        <v>0</v>
      </c>
      <c r="V849" s="306">
        <f t="shared" ca="1" si="380"/>
        <v>1.2255307963996753</v>
      </c>
      <c r="W849" s="304">
        <f t="shared" ca="1" si="381"/>
        <v>56.548891990611274</v>
      </c>
      <c r="Y849" s="314" t="str">
        <f t="shared" ca="1" si="399"/>
        <v/>
      </c>
      <c r="Z849" s="315" t="str">
        <f t="shared" ca="1" si="400"/>
        <v/>
      </c>
      <c r="AA849" s="316" t="str">
        <f t="shared" ca="1" si="401"/>
        <v/>
      </c>
      <c r="AC849" s="310" t="e">
        <f t="shared" ca="1" si="402"/>
        <v>#N/A</v>
      </c>
      <c r="AD849" s="323" t="e">
        <f t="shared" ca="1" si="403"/>
        <v>#N/A</v>
      </c>
      <c r="AE849" s="324" t="e">
        <f t="shared" ca="1" si="382"/>
        <v>#N/A</v>
      </c>
      <c r="AG849" s="306">
        <f t="shared" ca="1" si="404"/>
        <v>2.2364849047258675</v>
      </c>
      <c r="AH849" s="304">
        <f t="shared" ca="1" si="405"/>
        <v>-7.5579558863824348</v>
      </c>
    </row>
    <row r="850" spans="1:34" x14ac:dyDescent="0.2">
      <c r="A850" s="347">
        <f t="shared" ca="1" si="383"/>
        <v>1E-4</v>
      </c>
      <c r="B850" s="304">
        <f t="shared" ca="1" si="384"/>
        <v>37.710900000000585</v>
      </c>
      <c r="D850" s="306">
        <f t="shared" ca="1" si="385"/>
        <v>-0.42550547639849912</v>
      </c>
      <c r="E850" s="307">
        <f t="shared" ca="1" si="386"/>
        <v>-2.2639957745524084</v>
      </c>
      <c r="F850" s="304">
        <f t="shared" ca="1" si="387"/>
        <v>2.3036344713596106</v>
      </c>
      <c r="G850" s="306">
        <f t="shared" ca="1" si="388"/>
        <v>7.4377017112929096</v>
      </c>
      <c r="H850" s="307">
        <f t="shared" ca="1" si="389"/>
        <v>-131.90275818998938</v>
      </c>
      <c r="I850" s="304">
        <f t="shared" ca="1" si="390"/>
        <v>132.11228945436144</v>
      </c>
      <c r="J850" s="306">
        <f t="shared" ca="1" si="391"/>
        <v>515.22511340180665</v>
      </c>
      <c r="K850" s="307">
        <f t="shared" ca="1" si="392"/>
        <v>-4.3452835436797121</v>
      </c>
      <c r="L850" s="304">
        <f t="shared" ca="1" si="377"/>
        <v>515.2434366093172</v>
      </c>
      <c r="M850" s="306">
        <f t="shared" ca="1" si="393"/>
        <v>-1.5144682113315735</v>
      </c>
      <c r="N850" s="304">
        <f t="shared" ca="1" si="394"/>
        <v>-86.772636716026</v>
      </c>
      <c r="P850" s="310">
        <f t="shared" ca="1" si="395"/>
        <v>23</v>
      </c>
      <c r="Q850" s="304">
        <f t="shared" ca="1" si="396"/>
        <v>0</v>
      </c>
      <c r="R850" s="306">
        <f t="shared" ca="1" si="397"/>
        <v>0</v>
      </c>
      <c r="S850" s="307">
        <f t="shared" ca="1" si="398"/>
        <v>7.4819999999999904</v>
      </c>
      <c r="T850" s="304">
        <f t="shared" ca="1" si="378"/>
        <v>73.398419999999916</v>
      </c>
      <c r="U850" s="311">
        <f t="shared" ca="1" si="379"/>
        <v>0</v>
      </c>
      <c r="V850" s="306">
        <f t="shared" ca="1" si="380"/>
        <v>1.2255324129083534</v>
      </c>
      <c r="W850" s="304">
        <f t="shared" ca="1" si="381"/>
        <v>56.549158037340575</v>
      </c>
      <c r="Y850" s="314" t="str">
        <f t="shared" ca="1" si="399"/>
        <v/>
      </c>
      <c r="Z850" s="315" t="str">
        <f t="shared" ca="1" si="400"/>
        <v/>
      </c>
      <c r="AA850" s="316" t="str">
        <f t="shared" ca="1" si="401"/>
        <v/>
      </c>
      <c r="AC850" s="310" t="e">
        <f t="shared" ca="1" si="402"/>
        <v>#N/A</v>
      </c>
      <c r="AD850" s="323" t="e">
        <f t="shared" ca="1" si="403"/>
        <v>#N/A</v>
      </c>
      <c r="AE850" s="324" t="e">
        <f t="shared" ca="1" si="382"/>
        <v>#N/A</v>
      </c>
      <c r="AG850" s="306">
        <f t="shared" ca="1" si="404"/>
        <v>2.2364495771118857</v>
      </c>
      <c r="AH850" s="304">
        <f t="shared" ca="1" si="405"/>
        <v>-7.557991444882564</v>
      </c>
    </row>
    <row r="851" spans="1:34" x14ac:dyDescent="0.2">
      <c r="A851" s="347">
        <f t="shared" ca="1" si="383"/>
        <v>1E-4</v>
      </c>
      <c r="B851" s="304">
        <f t="shared" ca="1" si="384"/>
        <v>37.711000000000588</v>
      </c>
      <c r="D851" s="306">
        <f t="shared" ca="1" si="385"/>
        <v>-0.42550432368761476</v>
      </c>
      <c r="E851" s="307">
        <f t="shared" ca="1" si="386"/>
        <v>-2.2639600948306819</v>
      </c>
      <c r="F851" s="304">
        <f t="shared" ca="1" si="387"/>
        <v>2.3035991926684218</v>
      </c>
      <c r="G851" s="306">
        <f t="shared" ca="1" si="388"/>
        <v>7.4376591608605409</v>
      </c>
      <c r="H851" s="307">
        <f t="shared" ca="1" si="389"/>
        <v>-131.90298458599887</v>
      </c>
      <c r="I851" s="304">
        <f t="shared" ca="1" si="390"/>
        <v>132.11251309579796</v>
      </c>
      <c r="J851" s="306">
        <f t="shared" ca="1" si="391"/>
        <v>515.22511340180665</v>
      </c>
      <c r="K851" s="307">
        <f t="shared" ca="1" si="392"/>
        <v>-4.3584738308185118</v>
      </c>
      <c r="L851" s="304">
        <f t="shared" ca="1" si="377"/>
        <v>515.24354801786546</v>
      </c>
      <c r="M851" s="306">
        <f t="shared" ca="1" si="393"/>
        <v>-1.5144686293742231</v>
      </c>
      <c r="N851" s="304">
        <f t="shared" ca="1" si="394"/>
        <v>-86.772660668105473</v>
      </c>
      <c r="P851" s="310">
        <f t="shared" ca="1" si="395"/>
        <v>23</v>
      </c>
      <c r="Q851" s="304">
        <f t="shared" ca="1" si="396"/>
        <v>0</v>
      </c>
      <c r="R851" s="306">
        <f t="shared" ca="1" si="397"/>
        <v>0</v>
      </c>
      <c r="S851" s="307">
        <f t="shared" ca="1" si="398"/>
        <v>7.4819999999999904</v>
      </c>
      <c r="T851" s="304">
        <f t="shared" ca="1" si="378"/>
        <v>73.398419999999916</v>
      </c>
      <c r="U851" s="311">
        <f t="shared" ca="1" si="379"/>
        <v>0</v>
      </c>
      <c r="V851" s="306">
        <f t="shared" ca="1" si="380"/>
        <v>1.2255340294219386</v>
      </c>
      <c r="W851" s="304">
        <f t="shared" ca="1" si="381"/>
        <v>56.549424082101176</v>
      </c>
      <c r="Y851" s="314" t="str">
        <f t="shared" ca="1" si="399"/>
        <v/>
      </c>
      <c r="Z851" s="315" t="str">
        <f t="shared" ca="1" si="400"/>
        <v/>
      </c>
      <c r="AA851" s="316" t="str">
        <f t="shared" ca="1" si="401"/>
        <v/>
      </c>
      <c r="AC851" s="310" t="e">
        <f t="shared" ca="1" si="402"/>
        <v>#N/A</v>
      </c>
      <c r="AD851" s="323" t="e">
        <f t="shared" ca="1" si="403"/>
        <v>#N/A</v>
      </c>
      <c r="AE851" s="324" t="e">
        <f t="shared" ca="1" si="382"/>
        <v>#N/A</v>
      </c>
      <c r="AG851" s="306">
        <f t="shared" ca="1" si="404"/>
        <v>2.2364142497572086</v>
      </c>
      <c r="AH851" s="304">
        <f t="shared" ca="1" si="405"/>
        <v>-7.5580270031195731</v>
      </c>
    </row>
    <row r="852" spans="1:34" x14ac:dyDescent="0.2">
      <c r="A852" s="347">
        <f t="shared" ca="1" si="383"/>
        <v>1E-4</v>
      </c>
      <c r="B852" s="304">
        <f t="shared" ca="1" si="384"/>
        <v>37.711100000000592</v>
      </c>
      <c r="D852" s="306">
        <f t="shared" ca="1" si="385"/>
        <v>-0.42550317096088736</v>
      </c>
      <c r="E852" s="307">
        <f t="shared" ca="1" si="386"/>
        <v>-2.2639244153729274</v>
      </c>
      <c r="F852" s="304">
        <f t="shared" ca="1" si="387"/>
        <v>2.303563914246666</v>
      </c>
      <c r="G852" s="306">
        <f t="shared" ca="1" si="388"/>
        <v>7.4376166105434445</v>
      </c>
      <c r="H852" s="307">
        <f t="shared" ca="1" si="389"/>
        <v>-131.9032109784404</v>
      </c>
      <c r="I852" s="304">
        <f t="shared" ca="1" si="390"/>
        <v>132.11273673370178</v>
      </c>
      <c r="J852" s="306">
        <f t="shared" ca="1" si="391"/>
        <v>515.22511340180665</v>
      </c>
      <c r="K852" s="307">
        <f t="shared" ca="1" si="392"/>
        <v>-4.3716641405967334</v>
      </c>
      <c r="L852" s="304">
        <f t="shared" ca="1" si="377"/>
        <v>515.2436597642544</v>
      </c>
      <c r="M852" s="306">
        <f t="shared" ca="1" si="393"/>
        <v>-1.5144690474130658</v>
      </c>
      <c r="N852" s="304">
        <f t="shared" ca="1" si="394"/>
        <v>-86.772684619966839</v>
      </c>
      <c r="P852" s="310">
        <f t="shared" ca="1" si="395"/>
        <v>23</v>
      </c>
      <c r="Q852" s="304">
        <f t="shared" ca="1" si="396"/>
        <v>0</v>
      </c>
      <c r="R852" s="306">
        <f t="shared" ca="1" si="397"/>
        <v>0</v>
      </c>
      <c r="S852" s="307">
        <f t="shared" ca="1" si="398"/>
        <v>7.4819999999999904</v>
      </c>
      <c r="T852" s="304">
        <f t="shared" ca="1" si="378"/>
        <v>73.398419999999916</v>
      </c>
      <c r="U852" s="311">
        <f t="shared" ca="1" si="379"/>
        <v>0</v>
      </c>
      <c r="V852" s="306">
        <f t="shared" ca="1" si="380"/>
        <v>1.2255356459404305</v>
      </c>
      <c r="W852" s="304">
        <f t="shared" ca="1" si="381"/>
        <v>56.549690124893068</v>
      </c>
      <c r="Y852" s="314" t="str">
        <f t="shared" ca="1" si="399"/>
        <v/>
      </c>
      <c r="Z852" s="315" t="str">
        <f t="shared" ca="1" si="400"/>
        <v/>
      </c>
      <c r="AA852" s="316" t="str">
        <f t="shared" ca="1" si="401"/>
        <v/>
      </c>
      <c r="AC852" s="310" t="e">
        <f t="shared" ca="1" si="402"/>
        <v>#N/A</v>
      </c>
      <c r="AD852" s="323" t="e">
        <f t="shared" ca="1" si="403"/>
        <v>#N/A</v>
      </c>
      <c r="AE852" s="324" t="e">
        <f t="shared" ca="1" si="382"/>
        <v>#N/A</v>
      </c>
      <c r="AG852" s="306">
        <f t="shared" ca="1" si="404"/>
        <v>2.2363789226618458</v>
      </c>
      <c r="AH852" s="304">
        <f t="shared" ca="1" si="405"/>
        <v>-7.5580625610934575</v>
      </c>
    </row>
    <row r="853" spans="1:34" x14ac:dyDescent="0.2">
      <c r="A853" s="347">
        <f t="shared" ca="1" si="383"/>
        <v>1E-4</v>
      </c>
      <c r="B853" s="304">
        <f t="shared" ca="1" si="384"/>
        <v>37.711200000000595</v>
      </c>
      <c r="D853" s="306">
        <f t="shared" ca="1" si="385"/>
        <v>-0.42550201821831762</v>
      </c>
      <c r="E853" s="307">
        <f t="shared" ca="1" si="386"/>
        <v>-2.2638887361791467</v>
      </c>
      <c r="F853" s="304">
        <f t="shared" ca="1" si="387"/>
        <v>2.3035286360943457</v>
      </c>
      <c r="G853" s="306">
        <f t="shared" ca="1" si="388"/>
        <v>7.4375740603416229</v>
      </c>
      <c r="H853" s="307">
        <f t="shared" ca="1" si="389"/>
        <v>-131.90343736731401</v>
      </c>
      <c r="I853" s="304">
        <f t="shared" ca="1" si="390"/>
        <v>132.11296036807289</v>
      </c>
      <c r="J853" s="306">
        <f t="shared" ca="1" si="391"/>
        <v>515.22511340180665</v>
      </c>
      <c r="K853" s="307">
        <f t="shared" ca="1" si="392"/>
        <v>-4.3848544730140206</v>
      </c>
      <c r="L853" s="304">
        <f t="shared" ca="1" si="377"/>
        <v>515.24377184848538</v>
      </c>
      <c r="M853" s="306">
        <f t="shared" ca="1" si="393"/>
        <v>-1.5144694654481015</v>
      </c>
      <c r="N853" s="304">
        <f t="shared" ca="1" si="394"/>
        <v>-86.772708571610067</v>
      </c>
      <c r="P853" s="310">
        <f t="shared" ca="1" si="395"/>
        <v>23</v>
      </c>
      <c r="Q853" s="304">
        <f t="shared" ca="1" si="396"/>
        <v>0</v>
      </c>
      <c r="R853" s="306">
        <f t="shared" ca="1" si="397"/>
        <v>0</v>
      </c>
      <c r="S853" s="307">
        <f t="shared" ca="1" si="398"/>
        <v>7.4819999999999904</v>
      </c>
      <c r="T853" s="304">
        <f t="shared" ca="1" si="378"/>
        <v>73.398419999999916</v>
      </c>
      <c r="U853" s="311">
        <f t="shared" ca="1" si="379"/>
        <v>0</v>
      </c>
      <c r="V853" s="306">
        <f t="shared" ca="1" si="380"/>
        <v>1.2255372624638301</v>
      </c>
      <c r="W853" s="304">
        <f t="shared" ca="1" si="381"/>
        <v>56.549956165716281</v>
      </c>
      <c r="Y853" s="314" t="str">
        <f t="shared" ca="1" si="399"/>
        <v/>
      </c>
      <c r="Z853" s="315" t="str">
        <f t="shared" ca="1" si="400"/>
        <v/>
      </c>
      <c r="AA853" s="316" t="str">
        <f t="shared" ca="1" si="401"/>
        <v/>
      </c>
      <c r="AC853" s="310" t="e">
        <f t="shared" ca="1" si="402"/>
        <v>#N/A</v>
      </c>
      <c r="AD853" s="323" t="e">
        <f t="shared" ca="1" si="403"/>
        <v>#N/A</v>
      </c>
      <c r="AE853" s="324" t="e">
        <f t="shared" ca="1" si="382"/>
        <v>#N/A</v>
      </c>
      <c r="AG853" s="306">
        <f t="shared" ca="1" si="404"/>
        <v>2.236343595825792</v>
      </c>
      <c r="AH853" s="304">
        <f t="shared" ca="1" si="405"/>
        <v>-7.5580981188042156</v>
      </c>
    </row>
    <row r="854" spans="1:34" x14ac:dyDescent="0.2">
      <c r="A854" s="347">
        <f t="shared" ca="1" si="383"/>
        <v>1E-4</v>
      </c>
      <c r="B854" s="304">
        <f t="shared" ca="1" si="384"/>
        <v>37.711300000000598</v>
      </c>
      <c r="D854" s="306">
        <f t="shared" ca="1" si="385"/>
        <v>-0.42550086545990651</v>
      </c>
      <c r="E854" s="307">
        <f t="shared" ca="1" si="386"/>
        <v>-2.2638530572493361</v>
      </c>
      <c r="F854" s="304">
        <f t="shared" ca="1" si="387"/>
        <v>2.303493358211457</v>
      </c>
      <c r="G854" s="306">
        <f t="shared" ca="1" si="388"/>
        <v>7.4375315102550772</v>
      </c>
      <c r="H854" s="307">
        <f t="shared" ca="1" si="389"/>
        <v>-131.90366375261974</v>
      </c>
      <c r="I854" s="304">
        <f t="shared" ca="1" si="390"/>
        <v>132.11318399891135</v>
      </c>
      <c r="J854" s="306">
        <f t="shared" ca="1" si="391"/>
        <v>515.22511340180665</v>
      </c>
      <c r="K854" s="307">
        <f t="shared" ca="1" si="392"/>
        <v>-4.3980448280700175</v>
      </c>
      <c r="L854" s="304">
        <f t="shared" ca="1" si="377"/>
        <v>515.24388427055999</v>
      </c>
      <c r="M854" s="306">
        <f t="shared" ca="1" si="393"/>
        <v>-1.5144698834793306</v>
      </c>
      <c r="N854" s="304">
        <f t="shared" ca="1" si="394"/>
        <v>-86.772732523035202</v>
      </c>
      <c r="P854" s="310">
        <f t="shared" ca="1" si="395"/>
        <v>23</v>
      </c>
      <c r="Q854" s="304">
        <f t="shared" ca="1" si="396"/>
        <v>0</v>
      </c>
      <c r="R854" s="306">
        <f t="shared" ca="1" si="397"/>
        <v>0</v>
      </c>
      <c r="S854" s="307">
        <f t="shared" ca="1" si="398"/>
        <v>7.4819999999999904</v>
      </c>
      <c r="T854" s="304">
        <f t="shared" ca="1" si="378"/>
        <v>73.398419999999916</v>
      </c>
      <c r="U854" s="311">
        <f t="shared" ca="1" si="379"/>
        <v>0</v>
      </c>
      <c r="V854" s="306">
        <f t="shared" ca="1" si="380"/>
        <v>1.2255388789921369</v>
      </c>
      <c r="W854" s="304">
        <f t="shared" ca="1" si="381"/>
        <v>56.550222204570794</v>
      </c>
      <c r="Y854" s="314" t="str">
        <f t="shared" ca="1" si="399"/>
        <v/>
      </c>
      <c r="Z854" s="315" t="str">
        <f t="shared" ca="1" si="400"/>
        <v/>
      </c>
      <c r="AA854" s="316" t="str">
        <f t="shared" ca="1" si="401"/>
        <v/>
      </c>
      <c r="AC854" s="310" t="e">
        <f t="shared" ca="1" si="402"/>
        <v>#N/A</v>
      </c>
      <c r="AD854" s="323" t="e">
        <f t="shared" ca="1" si="403"/>
        <v>#N/A</v>
      </c>
      <c r="AE854" s="324" t="e">
        <f t="shared" ca="1" si="382"/>
        <v>#N/A</v>
      </c>
      <c r="AG854" s="306">
        <f t="shared" ca="1" si="404"/>
        <v>2.2363082692490446</v>
      </c>
      <c r="AH854" s="304">
        <f t="shared" ca="1" si="405"/>
        <v>-7.5581336762518516</v>
      </c>
    </row>
    <row r="855" spans="1:34" x14ac:dyDescent="0.2">
      <c r="A855" s="347">
        <f t="shared" ca="1" si="383"/>
        <v>1E-4</v>
      </c>
      <c r="B855" s="304">
        <f t="shared" ca="1" si="384"/>
        <v>37.711400000000602</v>
      </c>
      <c r="D855" s="306">
        <f t="shared" ca="1" si="385"/>
        <v>-0.42549971268565129</v>
      </c>
      <c r="E855" s="307">
        <f t="shared" ca="1" si="386"/>
        <v>-2.2638173785834974</v>
      </c>
      <c r="F855" s="304">
        <f t="shared" ca="1" si="387"/>
        <v>2.3034580805980016</v>
      </c>
      <c r="G855" s="306">
        <f t="shared" ca="1" si="388"/>
        <v>7.437488960283809</v>
      </c>
      <c r="H855" s="307">
        <f t="shared" ca="1" si="389"/>
        <v>-131.9038901343576</v>
      </c>
      <c r="I855" s="304">
        <f t="shared" ca="1" si="390"/>
        <v>132.1134076262172</v>
      </c>
      <c r="J855" s="306">
        <f t="shared" ca="1" si="391"/>
        <v>515.22511340180665</v>
      </c>
      <c r="K855" s="307">
        <f t="shared" ca="1" si="392"/>
        <v>-4.411235205764366</v>
      </c>
      <c r="L855" s="304">
        <f t="shared" ca="1" si="377"/>
        <v>515.24399703047982</v>
      </c>
      <c r="M855" s="306">
        <f t="shared" ca="1" si="393"/>
        <v>-1.5144703015067529</v>
      </c>
      <c r="N855" s="304">
        <f t="shared" ca="1" si="394"/>
        <v>-86.772756474242215</v>
      </c>
      <c r="P855" s="310">
        <f t="shared" ca="1" si="395"/>
        <v>23</v>
      </c>
      <c r="Q855" s="304">
        <f t="shared" ca="1" si="396"/>
        <v>0</v>
      </c>
      <c r="R855" s="306">
        <f t="shared" ca="1" si="397"/>
        <v>0</v>
      </c>
      <c r="S855" s="307">
        <f t="shared" ca="1" si="398"/>
        <v>7.4819999999999904</v>
      </c>
      <c r="T855" s="304">
        <f t="shared" ca="1" si="378"/>
        <v>73.398419999999916</v>
      </c>
      <c r="U855" s="311">
        <f t="shared" ca="1" si="379"/>
        <v>0</v>
      </c>
      <c r="V855" s="306">
        <f t="shared" ca="1" si="380"/>
        <v>1.2255404955253506</v>
      </c>
      <c r="W855" s="304">
        <f t="shared" ca="1" si="381"/>
        <v>56.55048824145662</v>
      </c>
      <c r="Y855" s="314" t="str">
        <f t="shared" ca="1" si="399"/>
        <v/>
      </c>
      <c r="Z855" s="315" t="str">
        <f t="shared" ca="1" si="400"/>
        <v/>
      </c>
      <c r="AA855" s="316" t="str">
        <f t="shared" ca="1" si="401"/>
        <v/>
      </c>
      <c r="AC855" s="310" t="e">
        <f t="shared" ca="1" si="402"/>
        <v>#N/A</v>
      </c>
      <c r="AD855" s="323" t="e">
        <f t="shared" ca="1" si="403"/>
        <v>#N/A</v>
      </c>
      <c r="AE855" s="324" t="e">
        <f t="shared" ca="1" si="382"/>
        <v>#N/A</v>
      </c>
      <c r="AG855" s="306">
        <f t="shared" ca="1" si="404"/>
        <v>2.2362729429316115</v>
      </c>
      <c r="AH855" s="304">
        <f t="shared" ca="1" si="405"/>
        <v>-7.558169233436363</v>
      </c>
    </row>
    <row r="856" spans="1:34" x14ac:dyDescent="0.2">
      <c r="A856" s="347">
        <f t="shared" ca="1" si="383"/>
        <v>1E-4</v>
      </c>
      <c r="B856" s="304">
        <f t="shared" ca="1" si="384"/>
        <v>37.711500000000605</v>
      </c>
      <c r="D856" s="306">
        <f t="shared" ca="1" si="385"/>
        <v>-0.42549855989555596</v>
      </c>
      <c r="E856" s="307">
        <f t="shared" ca="1" si="386"/>
        <v>-2.2637817001816298</v>
      </c>
      <c r="F856" s="304">
        <f t="shared" ca="1" si="387"/>
        <v>2.3034228032539796</v>
      </c>
      <c r="G856" s="306">
        <f t="shared" ca="1" si="388"/>
        <v>7.4374464104278193</v>
      </c>
      <c r="H856" s="307">
        <f t="shared" ca="1" si="389"/>
        <v>-131.90411651252762</v>
      </c>
      <c r="I856" s="304">
        <f t="shared" ca="1" si="390"/>
        <v>132.11363124999045</v>
      </c>
      <c r="J856" s="306">
        <f t="shared" ca="1" si="391"/>
        <v>515.22511340180665</v>
      </c>
      <c r="K856" s="307">
        <f t="shared" ca="1" si="392"/>
        <v>-4.42442560609671</v>
      </c>
      <c r="L856" s="304">
        <f t="shared" ca="1" si="377"/>
        <v>515.24411012824635</v>
      </c>
      <c r="M856" s="306">
        <f t="shared" ca="1" si="393"/>
        <v>-1.5144707195303686</v>
      </c>
      <c r="N856" s="304">
        <f t="shared" ca="1" si="394"/>
        <v>-86.772780425231133</v>
      </c>
      <c r="P856" s="310">
        <f t="shared" ca="1" si="395"/>
        <v>23</v>
      </c>
      <c r="Q856" s="304">
        <f t="shared" ca="1" si="396"/>
        <v>0</v>
      </c>
      <c r="R856" s="306">
        <f t="shared" ca="1" si="397"/>
        <v>0</v>
      </c>
      <c r="S856" s="307">
        <f t="shared" ca="1" si="398"/>
        <v>7.4819999999999904</v>
      </c>
      <c r="T856" s="304">
        <f t="shared" ca="1" si="378"/>
        <v>73.398419999999916</v>
      </c>
      <c r="U856" s="311">
        <f t="shared" ca="1" si="379"/>
        <v>0</v>
      </c>
      <c r="V856" s="306">
        <f t="shared" ca="1" si="380"/>
        <v>1.2255421120634715</v>
      </c>
      <c r="W856" s="304">
        <f t="shared" ca="1" si="381"/>
        <v>56.550754276373738</v>
      </c>
      <c r="Y856" s="314" t="str">
        <f t="shared" ca="1" si="399"/>
        <v/>
      </c>
      <c r="Z856" s="315" t="str">
        <f t="shared" ca="1" si="400"/>
        <v/>
      </c>
      <c r="AA856" s="316" t="str">
        <f t="shared" ca="1" si="401"/>
        <v/>
      </c>
      <c r="AC856" s="310" t="e">
        <f t="shared" ca="1" si="402"/>
        <v>#N/A</v>
      </c>
      <c r="AD856" s="323" t="e">
        <f t="shared" ca="1" si="403"/>
        <v>#N/A</v>
      </c>
      <c r="AE856" s="324" t="e">
        <f t="shared" ca="1" si="382"/>
        <v>#N/A</v>
      </c>
      <c r="AG856" s="306">
        <f t="shared" ca="1" si="404"/>
        <v>2.2362376168734865</v>
      </c>
      <c r="AH856" s="304">
        <f t="shared" ca="1" si="405"/>
        <v>-7.5582047903577507</v>
      </c>
    </row>
    <row r="857" spans="1:34" x14ac:dyDescent="0.2">
      <c r="A857" s="347">
        <f t="shared" ca="1" si="383"/>
        <v>1E-4</v>
      </c>
      <c r="B857" s="304">
        <f t="shared" ca="1" si="384"/>
        <v>37.711600000000608</v>
      </c>
      <c r="D857" s="306">
        <f t="shared" ca="1" si="385"/>
        <v>-0.42549740708961803</v>
      </c>
      <c r="E857" s="307">
        <f t="shared" ca="1" si="386"/>
        <v>-2.263746022043736</v>
      </c>
      <c r="F857" s="304">
        <f t="shared" ca="1" si="387"/>
        <v>2.3033875261793937</v>
      </c>
      <c r="G857" s="306">
        <f t="shared" ca="1" si="388"/>
        <v>7.4374038606871107</v>
      </c>
      <c r="H857" s="307">
        <f t="shared" ca="1" si="389"/>
        <v>-131.90434288712981</v>
      </c>
      <c r="I857" s="304">
        <f t="shared" ca="1" si="390"/>
        <v>132.11385487023108</v>
      </c>
      <c r="J857" s="306">
        <f t="shared" ca="1" si="391"/>
        <v>515.22511340180665</v>
      </c>
      <c r="K857" s="307">
        <f t="shared" ca="1" si="392"/>
        <v>-4.4376160290666933</v>
      </c>
      <c r="L857" s="304">
        <f t="shared" ca="1" si="377"/>
        <v>515.24422356386094</v>
      </c>
      <c r="M857" s="306">
        <f t="shared" ca="1" si="393"/>
        <v>-1.5144711375501774</v>
      </c>
      <c r="N857" s="304">
        <f t="shared" ca="1" si="394"/>
        <v>-86.772804376001929</v>
      </c>
      <c r="P857" s="310">
        <f t="shared" ca="1" si="395"/>
        <v>23</v>
      </c>
      <c r="Q857" s="304">
        <f t="shared" ca="1" si="396"/>
        <v>0</v>
      </c>
      <c r="R857" s="306">
        <f t="shared" ca="1" si="397"/>
        <v>0</v>
      </c>
      <c r="S857" s="307">
        <f t="shared" ca="1" si="398"/>
        <v>7.4819999999999904</v>
      </c>
      <c r="T857" s="304">
        <f t="shared" ca="1" si="378"/>
        <v>73.398419999999916</v>
      </c>
      <c r="U857" s="311">
        <f t="shared" ca="1" si="379"/>
        <v>0</v>
      </c>
      <c r="V857" s="306">
        <f t="shared" ca="1" si="380"/>
        <v>1.2255437286064998</v>
      </c>
      <c r="W857" s="304">
        <f t="shared" ca="1" si="381"/>
        <v>56.551020309322155</v>
      </c>
      <c r="Y857" s="314" t="str">
        <f t="shared" ca="1" si="399"/>
        <v/>
      </c>
      <c r="Z857" s="315" t="str">
        <f t="shared" ca="1" si="400"/>
        <v/>
      </c>
      <c r="AA857" s="316" t="str">
        <f t="shared" ca="1" si="401"/>
        <v/>
      </c>
      <c r="AC857" s="310" t="e">
        <f t="shared" ca="1" si="402"/>
        <v>#N/A</v>
      </c>
      <c r="AD857" s="323" t="e">
        <f t="shared" ca="1" si="403"/>
        <v>#N/A</v>
      </c>
      <c r="AE857" s="324" t="e">
        <f t="shared" ca="1" si="382"/>
        <v>#N/A</v>
      </c>
      <c r="AG857" s="306">
        <f t="shared" ca="1" si="404"/>
        <v>2.2362022910746733</v>
      </c>
      <c r="AH857" s="304">
        <f t="shared" ca="1" si="405"/>
        <v>-7.5582403470160129</v>
      </c>
    </row>
    <row r="858" spans="1:34" x14ac:dyDescent="0.2">
      <c r="A858" s="347">
        <f t="shared" ca="1" si="383"/>
        <v>1E-4</v>
      </c>
      <c r="B858" s="304">
        <f t="shared" ca="1" si="384"/>
        <v>37.711700000000612</v>
      </c>
      <c r="D858" s="306">
        <f t="shared" ca="1" si="385"/>
        <v>-0.42549625426784143</v>
      </c>
      <c r="E858" s="307">
        <f t="shared" ca="1" si="386"/>
        <v>-2.2637103441698141</v>
      </c>
      <c r="F858" s="304">
        <f t="shared" ca="1" si="387"/>
        <v>2.3033522493742424</v>
      </c>
      <c r="G858" s="306">
        <f t="shared" ca="1" si="388"/>
        <v>7.4373613110616841</v>
      </c>
      <c r="H858" s="307">
        <f t="shared" ca="1" si="389"/>
        <v>-131.90456925816423</v>
      </c>
      <c r="I858" s="304">
        <f t="shared" ca="1" si="390"/>
        <v>132.11407848693918</v>
      </c>
      <c r="J858" s="306">
        <f t="shared" ca="1" si="391"/>
        <v>515.22511340180665</v>
      </c>
      <c r="K858" s="307">
        <f t="shared" ca="1" si="392"/>
        <v>-4.450806474673958</v>
      </c>
      <c r="L858" s="304">
        <f t="shared" ca="1" si="377"/>
        <v>515.24433733732542</v>
      </c>
      <c r="M858" s="306">
        <f t="shared" ca="1" si="393"/>
        <v>-1.5144715555661799</v>
      </c>
      <c r="N858" s="304">
        <f t="shared" ca="1" si="394"/>
        <v>-86.772828326554645</v>
      </c>
      <c r="P858" s="310">
        <f t="shared" ca="1" si="395"/>
        <v>23</v>
      </c>
      <c r="Q858" s="304">
        <f t="shared" ca="1" si="396"/>
        <v>0</v>
      </c>
      <c r="R858" s="306">
        <f t="shared" ca="1" si="397"/>
        <v>0</v>
      </c>
      <c r="S858" s="307">
        <f t="shared" ca="1" si="398"/>
        <v>7.4819999999999904</v>
      </c>
      <c r="T858" s="304">
        <f t="shared" ca="1" si="378"/>
        <v>73.398419999999916</v>
      </c>
      <c r="U858" s="311">
        <f t="shared" ca="1" si="379"/>
        <v>0</v>
      </c>
      <c r="V858" s="306">
        <f t="shared" ca="1" si="380"/>
        <v>1.2255453451544347</v>
      </c>
      <c r="W858" s="304">
        <f t="shared" ca="1" si="381"/>
        <v>56.55128634030185</v>
      </c>
      <c r="Y858" s="314" t="str">
        <f t="shared" ca="1" si="399"/>
        <v/>
      </c>
      <c r="Z858" s="315" t="str">
        <f t="shared" ca="1" si="400"/>
        <v/>
      </c>
      <c r="AA858" s="316" t="str">
        <f t="shared" ca="1" si="401"/>
        <v/>
      </c>
      <c r="AC858" s="310" t="e">
        <f t="shared" ca="1" si="402"/>
        <v>#N/A</v>
      </c>
      <c r="AD858" s="323" t="e">
        <f t="shared" ca="1" si="403"/>
        <v>#N/A</v>
      </c>
      <c r="AE858" s="324" t="e">
        <f t="shared" ca="1" si="382"/>
        <v>#N/A</v>
      </c>
      <c r="AG858" s="306">
        <f t="shared" ca="1" si="404"/>
        <v>2.2361669655351673</v>
      </c>
      <c r="AH858" s="304">
        <f t="shared" ca="1" si="405"/>
        <v>-7.5582759034111504</v>
      </c>
    </row>
    <row r="859" spans="1:34" x14ac:dyDescent="0.2">
      <c r="A859" s="347">
        <f t="shared" ca="1" si="383"/>
        <v>1E-4</v>
      </c>
      <c r="B859" s="304">
        <f t="shared" ca="1" si="384"/>
        <v>37.711800000000615</v>
      </c>
      <c r="D859" s="306">
        <f t="shared" ca="1" si="385"/>
        <v>-0.42549510143022179</v>
      </c>
      <c r="E859" s="307">
        <f t="shared" ca="1" si="386"/>
        <v>-2.2636746665598677</v>
      </c>
      <c r="F859" s="304">
        <f t="shared" ca="1" si="387"/>
        <v>2.3033169728385285</v>
      </c>
      <c r="G859" s="306">
        <f t="shared" ca="1" si="388"/>
        <v>7.4373187615515413</v>
      </c>
      <c r="H859" s="307">
        <f t="shared" ca="1" si="389"/>
        <v>-131.9047956256309</v>
      </c>
      <c r="I859" s="304">
        <f t="shared" ca="1" si="390"/>
        <v>132.11430210011474</v>
      </c>
      <c r="J859" s="306">
        <f t="shared" ca="1" si="391"/>
        <v>515.22511340180665</v>
      </c>
      <c r="K859" s="307">
        <f t="shared" ca="1" si="392"/>
        <v>-4.4639969429181479</v>
      </c>
      <c r="L859" s="304">
        <f t="shared" ca="1" si="377"/>
        <v>515.24445144864092</v>
      </c>
      <c r="M859" s="306">
        <f t="shared" ca="1" si="393"/>
        <v>-1.5144719735783756</v>
      </c>
      <c r="N859" s="304">
        <f t="shared" ca="1" si="394"/>
        <v>-86.772852276889239</v>
      </c>
      <c r="P859" s="310">
        <f t="shared" ca="1" si="395"/>
        <v>23</v>
      </c>
      <c r="Q859" s="304">
        <f t="shared" ca="1" si="396"/>
        <v>0</v>
      </c>
      <c r="R859" s="306">
        <f t="shared" ca="1" si="397"/>
        <v>0</v>
      </c>
      <c r="S859" s="307">
        <f t="shared" ca="1" si="398"/>
        <v>7.4819999999999904</v>
      </c>
      <c r="T859" s="304">
        <f t="shared" ca="1" si="378"/>
        <v>73.398419999999916</v>
      </c>
      <c r="U859" s="311">
        <f t="shared" ca="1" si="379"/>
        <v>0</v>
      </c>
      <c r="V859" s="306">
        <f t="shared" ca="1" si="380"/>
        <v>1.2255469617072772</v>
      </c>
      <c r="W859" s="304">
        <f t="shared" ca="1" si="381"/>
        <v>56.551552369312859</v>
      </c>
      <c r="Y859" s="314" t="str">
        <f t="shared" ca="1" si="399"/>
        <v/>
      </c>
      <c r="Z859" s="315" t="str">
        <f t="shared" ca="1" si="400"/>
        <v/>
      </c>
      <c r="AA859" s="316" t="str">
        <f t="shared" ca="1" si="401"/>
        <v/>
      </c>
      <c r="AC859" s="310" t="e">
        <f t="shared" ca="1" si="402"/>
        <v>#N/A</v>
      </c>
      <c r="AD859" s="323" t="e">
        <f t="shared" ca="1" si="403"/>
        <v>#N/A</v>
      </c>
      <c r="AE859" s="324" t="e">
        <f t="shared" ca="1" si="382"/>
        <v>#N/A</v>
      </c>
      <c r="AG859" s="306">
        <f t="shared" ca="1" si="404"/>
        <v>2.2361316402549809</v>
      </c>
      <c r="AH859" s="304">
        <f t="shared" ca="1" si="405"/>
        <v>-7.5583114595431597</v>
      </c>
    </row>
    <row r="860" spans="1:34" x14ac:dyDescent="0.2">
      <c r="A860" s="347">
        <f t="shared" ca="1" si="383"/>
        <v>1E-4</v>
      </c>
      <c r="B860" s="304">
        <f t="shared" ca="1" si="384"/>
        <v>37.711900000000618</v>
      </c>
      <c r="D860" s="306">
        <f t="shared" ca="1" si="385"/>
        <v>-0.42549394857676348</v>
      </c>
      <c r="E860" s="307">
        <f t="shared" ca="1" si="386"/>
        <v>-2.2636389892138915</v>
      </c>
      <c r="F860" s="304">
        <f t="shared" ca="1" si="387"/>
        <v>2.3032816965722485</v>
      </c>
      <c r="G860" s="306">
        <f t="shared" ca="1" si="388"/>
        <v>7.437276212156684</v>
      </c>
      <c r="H860" s="307">
        <f t="shared" ca="1" si="389"/>
        <v>-131.90502198952981</v>
      </c>
      <c r="I860" s="304">
        <f t="shared" ca="1" si="390"/>
        <v>132.1145257097578</v>
      </c>
      <c r="J860" s="306">
        <f t="shared" ca="1" si="391"/>
        <v>515.22511340180665</v>
      </c>
      <c r="K860" s="307">
        <f t="shared" ca="1" si="392"/>
        <v>-4.4771874337989059</v>
      </c>
      <c r="L860" s="304">
        <f t="shared" ca="1" si="377"/>
        <v>515.24456589780925</v>
      </c>
      <c r="M860" s="306">
        <f t="shared" ca="1" si="393"/>
        <v>-1.5144723915867651</v>
      </c>
      <c r="N860" s="304">
        <f t="shared" ca="1" si="394"/>
        <v>-86.772876227005767</v>
      </c>
      <c r="P860" s="310">
        <f t="shared" ca="1" si="395"/>
        <v>23</v>
      </c>
      <c r="Q860" s="304">
        <f t="shared" ca="1" si="396"/>
        <v>0</v>
      </c>
      <c r="R860" s="306">
        <f t="shared" ca="1" si="397"/>
        <v>0</v>
      </c>
      <c r="S860" s="307">
        <f t="shared" ca="1" si="398"/>
        <v>7.4819999999999904</v>
      </c>
      <c r="T860" s="304">
        <f t="shared" ca="1" si="378"/>
        <v>73.398419999999916</v>
      </c>
      <c r="U860" s="311">
        <f t="shared" ca="1" si="379"/>
        <v>0</v>
      </c>
      <c r="V860" s="306">
        <f t="shared" ca="1" si="380"/>
        <v>1.2255485782650264</v>
      </c>
      <c r="W860" s="304">
        <f t="shared" ca="1" si="381"/>
        <v>56.551818396355117</v>
      </c>
      <c r="Y860" s="314" t="str">
        <f t="shared" ca="1" si="399"/>
        <v/>
      </c>
      <c r="Z860" s="315" t="str">
        <f t="shared" ca="1" si="400"/>
        <v/>
      </c>
      <c r="AA860" s="316" t="str">
        <f t="shared" ca="1" si="401"/>
        <v/>
      </c>
      <c r="AC860" s="310" t="e">
        <f t="shared" ca="1" si="402"/>
        <v>#N/A</v>
      </c>
      <c r="AD860" s="323" t="e">
        <f t="shared" ca="1" si="403"/>
        <v>#N/A</v>
      </c>
      <c r="AE860" s="324" t="e">
        <f t="shared" ca="1" si="382"/>
        <v>#N/A</v>
      </c>
      <c r="AG860" s="306">
        <f t="shared" ca="1" si="404"/>
        <v>2.2360963152341018</v>
      </c>
      <c r="AH860" s="304">
        <f t="shared" ca="1" si="405"/>
        <v>-7.5583470154120462</v>
      </c>
    </row>
    <row r="861" spans="1:34" x14ac:dyDescent="0.2">
      <c r="A861" s="347">
        <f t="shared" ca="1" si="383"/>
        <v>1E-4</v>
      </c>
      <c r="B861" s="304">
        <f t="shared" ca="1" si="384"/>
        <v>37.712000000000621</v>
      </c>
      <c r="D861" s="306">
        <f t="shared" ca="1" si="385"/>
        <v>-0.42549279570746334</v>
      </c>
      <c r="E861" s="307">
        <f t="shared" ca="1" si="386"/>
        <v>-2.2636033121318953</v>
      </c>
      <c r="F861" s="304">
        <f t="shared" ca="1" si="387"/>
        <v>2.3032464205754102</v>
      </c>
      <c r="G861" s="306">
        <f t="shared" ca="1" si="388"/>
        <v>7.4372336628771132</v>
      </c>
      <c r="H861" s="307">
        <f t="shared" ca="1" si="389"/>
        <v>-131.90524834986104</v>
      </c>
      <c r="I861" s="304">
        <f t="shared" ca="1" si="390"/>
        <v>132.11474931586841</v>
      </c>
      <c r="J861" s="306">
        <f t="shared" ca="1" si="391"/>
        <v>515.22511340180665</v>
      </c>
      <c r="K861" s="307">
        <f t="shared" ca="1" si="392"/>
        <v>-4.4903779473158751</v>
      </c>
      <c r="L861" s="304">
        <f t="shared" ca="1" si="377"/>
        <v>515.24468068483179</v>
      </c>
      <c r="M861" s="306">
        <f t="shared" ca="1" si="393"/>
        <v>-1.514472809591348</v>
      </c>
      <c r="N861" s="304">
        <f t="shared" ca="1" si="394"/>
        <v>-86.772900176904187</v>
      </c>
      <c r="P861" s="310">
        <f t="shared" ca="1" si="395"/>
        <v>23</v>
      </c>
      <c r="Q861" s="304">
        <f t="shared" ca="1" si="396"/>
        <v>0</v>
      </c>
      <c r="R861" s="306">
        <f t="shared" ca="1" si="397"/>
        <v>0</v>
      </c>
      <c r="S861" s="307">
        <f t="shared" ca="1" si="398"/>
        <v>7.4819999999999904</v>
      </c>
      <c r="T861" s="304">
        <f t="shared" ca="1" si="378"/>
        <v>73.398419999999916</v>
      </c>
      <c r="U861" s="311">
        <f t="shared" ca="1" si="379"/>
        <v>0</v>
      </c>
      <c r="V861" s="306">
        <f t="shared" ca="1" si="380"/>
        <v>1.2255501948276823</v>
      </c>
      <c r="W861" s="304">
        <f t="shared" ca="1" si="381"/>
        <v>56.552084421428688</v>
      </c>
      <c r="Y861" s="314" t="str">
        <f t="shared" ca="1" si="399"/>
        <v/>
      </c>
      <c r="Z861" s="315" t="str">
        <f t="shared" ca="1" si="400"/>
        <v/>
      </c>
      <c r="AA861" s="316" t="str">
        <f t="shared" ca="1" si="401"/>
        <v/>
      </c>
      <c r="AC861" s="310" t="e">
        <f t="shared" ca="1" si="402"/>
        <v>#N/A</v>
      </c>
      <c r="AD861" s="323" t="e">
        <f t="shared" ca="1" si="403"/>
        <v>#N/A</v>
      </c>
      <c r="AE861" s="324" t="e">
        <f t="shared" ca="1" si="382"/>
        <v>#N/A</v>
      </c>
      <c r="AG861" s="306">
        <f t="shared" ca="1" si="404"/>
        <v>2.2360609904725406</v>
      </c>
      <c r="AH861" s="304">
        <f t="shared" ca="1" si="405"/>
        <v>-7.558382571017801</v>
      </c>
    </row>
    <row r="862" spans="1:34" x14ac:dyDescent="0.2">
      <c r="A862" s="347">
        <f t="shared" ca="1" si="383"/>
        <v>1E-4</v>
      </c>
      <c r="B862" s="304">
        <f t="shared" ca="1" si="384"/>
        <v>37.712100000000625</v>
      </c>
      <c r="D862" s="306">
        <f t="shared" ca="1" si="385"/>
        <v>-0.42549164282232438</v>
      </c>
      <c r="E862" s="307">
        <f t="shared" ca="1" si="386"/>
        <v>-2.2635676353138692</v>
      </c>
      <c r="F862" s="304">
        <f t="shared" ca="1" si="387"/>
        <v>2.3032111448480057</v>
      </c>
      <c r="G862" s="306">
        <f t="shared" ca="1" si="388"/>
        <v>7.4371911137128306</v>
      </c>
      <c r="H862" s="307">
        <f t="shared" ca="1" si="389"/>
        <v>-131.90547470662457</v>
      </c>
      <c r="I862" s="304">
        <f t="shared" ca="1" si="390"/>
        <v>132.11497291844654</v>
      </c>
      <c r="J862" s="306">
        <f t="shared" ca="1" si="391"/>
        <v>515.22511340180665</v>
      </c>
      <c r="K862" s="307">
        <f t="shared" ca="1" si="392"/>
        <v>-4.5035684834686993</v>
      </c>
      <c r="L862" s="304">
        <f t="shared" ca="1" si="377"/>
        <v>515.24479580971001</v>
      </c>
      <c r="M862" s="306">
        <f t="shared" ca="1" si="393"/>
        <v>-1.5144732275921247</v>
      </c>
      <c r="N862" s="304">
        <f t="shared" ca="1" si="394"/>
        <v>-86.772924126584513</v>
      </c>
      <c r="P862" s="310">
        <f t="shared" ca="1" si="395"/>
        <v>23</v>
      </c>
      <c r="Q862" s="304">
        <f t="shared" ca="1" si="396"/>
        <v>0</v>
      </c>
      <c r="R862" s="306">
        <f t="shared" ca="1" si="397"/>
        <v>0</v>
      </c>
      <c r="S862" s="307">
        <f t="shared" ca="1" si="398"/>
        <v>7.4819999999999904</v>
      </c>
      <c r="T862" s="304">
        <f t="shared" ca="1" si="378"/>
        <v>73.398419999999916</v>
      </c>
      <c r="U862" s="311">
        <f t="shared" ca="1" si="379"/>
        <v>0</v>
      </c>
      <c r="V862" s="306">
        <f t="shared" ca="1" si="380"/>
        <v>1.2255518113952455</v>
      </c>
      <c r="W862" s="304">
        <f t="shared" ca="1" si="381"/>
        <v>56.552350444533531</v>
      </c>
      <c r="Y862" s="314" t="str">
        <f t="shared" ca="1" si="399"/>
        <v/>
      </c>
      <c r="Z862" s="315" t="str">
        <f t="shared" ca="1" si="400"/>
        <v/>
      </c>
      <c r="AA862" s="316" t="str">
        <f t="shared" ca="1" si="401"/>
        <v/>
      </c>
      <c r="AC862" s="310" t="e">
        <f t="shared" ca="1" si="402"/>
        <v>#N/A</v>
      </c>
      <c r="AD862" s="323" t="e">
        <f t="shared" ca="1" si="403"/>
        <v>#N/A</v>
      </c>
      <c r="AE862" s="324" t="e">
        <f t="shared" ca="1" si="382"/>
        <v>#N/A</v>
      </c>
      <c r="AG862" s="306">
        <f t="shared" ca="1" si="404"/>
        <v>2.2360256659702902</v>
      </c>
      <c r="AH862" s="304">
        <f t="shared" ca="1" si="405"/>
        <v>-7.5584181263604329</v>
      </c>
    </row>
    <row r="863" spans="1:34" x14ac:dyDescent="0.2">
      <c r="A863" s="347">
        <f t="shared" ca="1" si="383"/>
        <v>1E-4</v>
      </c>
      <c r="B863" s="304">
        <f t="shared" ca="1" si="384"/>
        <v>37.712200000000628</v>
      </c>
      <c r="D863" s="306">
        <f t="shared" ca="1" si="385"/>
        <v>-0.42549048992134519</v>
      </c>
      <c r="E863" s="307">
        <f t="shared" ca="1" si="386"/>
        <v>-2.2635319587598195</v>
      </c>
      <c r="F863" s="304">
        <f t="shared" ca="1" si="387"/>
        <v>2.3031758693900408</v>
      </c>
      <c r="G863" s="306">
        <f t="shared" ca="1" si="388"/>
        <v>7.4371485646638389</v>
      </c>
      <c r="H863" s="307">
        <f t="shared" ca="1" si="389"/>
        <v>-131.90570105982044</v>
      </c>
      <c r="I863" s="304">
        <f t="shared" ca="1" si="390"/>
        <v>132.11519651749225</v>
      </c>
      <c r="J863" s="306">
        <f t="shared" ca="1" si="391"/>
        <v>515.22511340180665</v>
      </c>
      <c r="K863" s="307">
        <f t="shared" ca="1" si="392"/>
        <v>-4.5167590422570214</v>
      </c>
      <c r="L863" s="304">
        <f t="shared" ca="1" si="377"/>
        <v>515.24491127244562</v>
      </c>
      <c r="M863" s="306">
        <f t="shared" ca="1" si="393"/>
        <v>-1.5144736455890948</v>
      </c>
      <c r="N863" s="304">
        <f t="shared" ca="1" si="394"/>
        <v>-86.77294807604676</v>
      </c>
      <c r="P863" s="310">
        <f t="shared" ca="1" si="395"/>
        <v>23</v>
      </c>
      <c r="Q863" s="304">
        <f t="shared" ca="1" si="396"/>
        <v>0</v>
      </c>
      <c r="R863" s="306">
        <f t="shared" ca="1" si="397"/>
        <v>0</v>
      </c>
      <c r="S863" s="307">
        <f t="shared" ca="1" si="398"/>
        <v>7.4819999999999904</v>
      </c>
      <c r="T863" s="304">
        <f t="shared" ca="1" si="378"/>
        <v>73.398419999999916</v>
      </c>
      <c r="U863" s="311">
        <f t="shared" ca="1" si="379"/>
        <v>0</v>
      </c>
      <c r="V863" s="306">
        <f t="shared" ca="1" si="380"/>
        <v>1.2255534279677154</v>
      </c>
      <c r="W863" s="304">
        <f t="shared" ca="1" si="381"/>
        <v>56.552616465669637</v>
      </c>
      <c r="Y863" s="314" t="str">
        <f t="shared" ca="1" si="399"/>
        <v/>
      </c>
      <c r="Z863" s="315" t="str">
        <f t="shared" ca="1" si="400"/>
        <v/>
      </c>
      <c r="AA863" s="316" t="str">
        <f t="shared" ca="1" si="401"/>
        <v/>
      </c>
      <c r="AC863" s="310" t="e">
        <f t="shared" ca="1" si="402"/>
        <v>#N/A</v>
      </c>
      <c r="AD863" s="323" t="e">
        <f t="shared" ca="1" si="403"/>
        <v>#N/A</v>
      </c>
      <c r="AE863" s="324" t="e">
        <f t="shared" ca="1" si="382"/>
        <v>#N/A</v>
      </c>
      <c r="AG863" s="306">
        <f t="shared" ca="1" si="404"/>
        <v>2.2359903417273541</v>
      </c>
      <c r="AH863" s="304">
        <f t="shared" ca="1" si="405"/>
        <v>-7.5584536814399366</v>
      </c>
    </row>
    <row r="864" spans="1:34" x14ac:dyDescent="0.2">
      <c r="A864" s="347">
        <f t="shared" ca="1" si="383"/>
        <v>1E-4</v>
      </c>
      <c r="B864" s="304">
        <f t="shared" ca="1" si="384"/>
        <v>37.712300000000631</v>
      </c>
      <c r="D864" s="306">
        <f t="shared" ca="1" si="385"/>
        <v>-0.42548933700452818</v>
      </c>
      <c r="E864" s="307">
        <f t="shared" ca="1" si="386"/>
        <v>-2.2634962824697471</v>
      </c>
      <c r="F864" s="304">
        <f t="shared" ca="1" si="387"/>
        <v>2.3031405942015173</v>
      </c>
      <c r="G864" s="306">
        <f t="shared" ca="1" si="388"/>
        <v>7.4371060157301381</v>
      </c>
      <c r="H864" s="307">
        <f t="shared" ca="1" si="389"/>
        <v>-131.90592740944868</v>
      </c>
      <c r="I864" s="304">
        <f t="shared" ca="1" si="390"/>
        <v>132.11542011300557</v>
      </c>
      <c r="J864" s="306">
        <f t="shared" ca="1" si="391"/>
        <v>515.22511340180665</v>
      </c>
      <c r="K864" s="307">
        <f t="shared" ca="1" si="392"/>
        <v>-4.5299496236804853</v>
      </c>
      <c r="L864" s="304">
        <f t="shared" ca="1" si="377"/>
        <v>515.24502707303986</v>
      </c>
      <c r="M864" s="306">
        <f t="shared" ca="1" si="393"/>
        <v>-1.5144740635822589</v>
      </c>
      <c r="N864" s="304">
        <f t="shared" ca="1" si="394"/>
        <v>-86.772972025290926</v>
      </c>
      <c r="P864" s="310">
        <f t="shared" ca="1" si="395"/>
        <v>23</v>
      </c>
      <c r="Q864" s="304">
        <f t="shared" ca="1" si="396"/>
        <v>0</v>
      </c>
      <c r="R864" s="306">
        <f t="shared" ca="1" si="397"/>
        <v>0</v>
      </c>
      <c r="S864" s="307">
        <f t="shared" ca="1" si="398"/>
        <v>7.4819999999999904</v>
      </c>
      <c r="T864" s="304">
        <f t="shared" ca="1" si="378"/>
        <v>73.398419999999916</v>
      </c>
      <c r="U864" s="311">
        <f t="shared" ca="1" si="379"/>
        <v>0</v>
      </c>
      <c r="V864" s="306">
        <f t="shared" ca="1" si="380"/>
        <v>1.2255550445450922</v>
      </c>
      <c r="W864" s="304">
        <f t="shared" ca="1" si="381"/>
        <v>56.552882484837035</v>
      </c>
      <c r="Y864" s="314" t="str">
        <f t="shared" ca="1" si="399"/>
        <v/>
      </c>
      <c r="Z864" s="315" t="str">
        <f t="shared" ca="1" si="400"/>
        <v/>
      </c>
      <c r="AA864" s="316" t="str">
        <f t="shared" ca="1" si="401"/>
        <v/>
      </c>
      <c r="AC864" s="310" t="e">
        <f t="shared" ca="1" si="402"/>
        <v>#N/A</v>
      </c>
      <c r="AD864" s="323" t="e">
        <f t="shared" ca="1" si="403"/>
        <v>#N/A</v>
      </c>
      <c r="AE864" s="324" t="e">
        <f t="shared" ca="1" si="382"/>
        <v>#N/A</v>
      </c>
      <c r="AG864" s="306">
        <f t="shared" ca="1" si="404"/>
        <v>2.2359550177437351</v>
      </c>
      <c r="AH864" s="304">
        <f t="shared" ca="1" si="405"/>
        <v>-7.5584892362563094</v>
      </c>
    </row>
    <row r="865" spans="1:34" x14ac:dyDescent="0.2">
      <c r="A865" s="347">
        <f t="shared" ca="1" si="383"/>
        <v>1E-4</v>
      </c>
      <c r="B865" s="304">
        <f t="shared" ca="1" si="384"/>
        <v>37.712400000000635</v>
      </c>
      <c r="D865" s="306">
        <f t="shared" ca="1" si="385"/>
        <v>-0.42548818407187106</v>
      </c>
      <c r="E865" s="307">
        <f t="shared" ca="1" si="386"/>
        <v>-2.2634606064436475</v>
      </c>
      <c r="F865" s="304">
        <f t="shared" ca="1" si="387"/>
        <v>2.3031053192824298</v>
      </c>
      <c r="G865" s="306">
        <f t="shared" ca="1" si="388"/>
        <v>7.4370634669117308</v>
      </c>
      <c r="H865" s="307">
        <f t="shared" ca="1" si="389"/>
        <v>-131.90615375550934</v>
      </c>
      <c r="I865" s="304">
        <f t="shared" ca="1" si="390"/>
        <v>132.11564370498652</v>
      </c>
      <c r="J865" s="306">
        <f t="shared" ca="1" si="391"/>
        <v>515.22511340180665</v>
      </c>
      <c r="K865" s="307">
        <f t="shared" ca="1" si="392"/>
        <v>-4.5431402277387329</v>
      </c>
      <c r="L865" s="304">
        <f t="shared" ca="1" si="377"/>
        <v>515.24514321149445</v>
      </c>
      <c r="M865" s="306">
        <f t="shared" ca="1" si="393"/>
        <v>-1.5144744815716167</v>
      </c>
      <c r="N865" s="304">
        <f t="shared" ca="1" si="394"/>
        <v>-86.772995974317013</v>
      </c>
      <c r="P865" s="310">
        <f t="shared" ca="1" si="395"/>
        <v>23</v>
      </c>
      <c r="Q865" s="304">
        <f t="shared" ca="1" si="396"/>
        <v>0</v>
      </c>
      <c r="R865" s="306">
        <f t="shared" ca="1" si="397"/>
        <v>0</v>
      </c>
      <c r="S865" s="307">
        <f t="shared" ca="1" si="398"/>
        <v>7.4819999999999904</v>
      </c>
      <c r="T865" s="304">
        <f t="shared" ca="1" si="378"/>
        <v>73.398419999999916</v>
      </c>
      <c r="U865" s="311">
        <f t="shared" ca="1" si="379"/>
        <v>0</v>
      </c>
      <c r="V865" s="306">
        <f t="shared" ca="1" si="380"/>
        <v>1.225556661127376</v>
      </c>
      <c r="W865" s="304">
        <f t="shared" ca="1" si="381"/>
        <v>56.553148502035704</v>
      </c>
      <c r="Y865" s="314" t="str">
        <f t="shared" ca="1" si="399"/>
        <v/>
      </c>
      <c r="Z865" s="315" t="str">
        <f t="shared" ca="1" si="400"/>
        <v/>
      </c>
      <c r="AA865" s="316" t="str">
        <f t="shared" ca="1" si="401"/>
        <v/>
      </c>
      <c r="AC865" s="310" t="e">
        <f t="shared" ca="1" si="402"/>
        <v>#N/A</v>
      </c>
      <c r="AD865" s="323" t="e">
        <f t="shared" ca="1" si="403"/>
        <v>#N/A</v>
      </c>
      <c r="AE865" s="324" t="e">
        <f t="shared" ca="1" si="382"/>
        <v>#N/A</v>
      </c>
      <c r="AG865" s="306">
        <f t="shared" ca="1" si="404"/>
        <v>2.2359196940194286</v>
      </c>
      <c r="AH865" s="304">
        <f t="shared" ca="1" si="405"/>
        <v>-7.5585247908095576</v>
      </c>
    </row>
    <row r="866" spans="1:34" x14ac:dyDescent="0.2">
      <c r="A866" s="347">
        <f t="shared" ca="1" si="383"/>
        <v>1E-4</v>
      </c>
      <c r="B866" s="304">
        <f t="shared" ca="1" si="384"/>
        <v>37.712500000000638</v>
      </c>
      <c r="D866" s="306">
        <f t="shared" ca="1" si="385"/>
        <v>-0.42548703112337594</v>
      </c>
      <c r="E866" s="307">
        <f t="shared" ca="1" si="386"/>
        <v>-2.2634249306815262</v>
      </c>
      <c r="F866" s="304">
        <f t="shared" ca="1" si="387"/>
        <v>2.3030700446327845</v>
      </c>
      <c r="G866" s="306">
        <f t="shared" ca="1" si="388"/>
        <v>7.4370209182086189</v>
      </c>
      <c r="H866" s="307">
        <f t="shared" ca="1" si="389"/>
        <v>-131.90638009800242</v>
      </c>
      <c r="I866" s="304">
        <f t="shared" ca="1" si="390"/>
        <v>132.11586729343512</v>
      </c>
      <c r="J866" s="306">
        <f t="shared" ca="1" si="391"/>
        <v>515.22511340180665</v>
      </c>
      <c r="K866" s="307">
        <f t="shared" ca="1" si="392"/>
        <v>-4.5563308544314083</v>
      </c>
      <c r="L866" s="304">
        <f t="shared" ca="1" si="377"/>
        <v>515.24525968781086</v>
      </c>
      <c r="M866" s="306">
        <f t="shared" ca="1" si="393"/>
        <v>-1.5144748995571682</v>
      </c>
      <c r="N866" s="304">
        <f t="shared" ca="1" si="394"/>
        <v>-86.773019923125005</v>
      </c>
      <c r="P866" s="310">
        <f t="shared" ca="1" si="395"/>
        <v>23</v>
      </c>
      <c r="Q866" s="304">
        <f t="shared" ca="1" si="396"/>
        <v>0</v>
      </c>
      <c r="R866" s="306">
        <f t="shared" ca="1" si="397"/>
        <v>0</v>
      </c>
      <c r="S866" s="307">
        <f t="shared" ca="1" si="398"/>
        <v>7.4819999999999904</v>
      </c>
      <c r="T866" s="304">
        <f t="shared" ca="1" si="378"/>
        <v>73.398419999999916</v>
      </c>
      <c r="U866" s="311">
        <f t="shared" ca="1" si="379"/>
        <v>0</v>
      </c>
      <c r="V866" s="306">
        <f t="shared" ca="1" si="380"/>
        <v>1.2255582777145666</v>
      </c>
      <c r="W866" s="304">
        <f t="shared" ca="1" si="381"/>
        <v>56.553414517265644</v>
      </c>
      <c r="Y866" s="314" t="str">
        <f t="shared" ca="1" si="399"/>
        <v/>
      </c>
      <c r="Z866" s="315" t="str">
        <f t="shared" ca="1" si="400"/>
        <v/>
      </c>
      <c r="AA866" s="316" t="str">
        <f t="shared" ca="1" si="401"/>
        <v/>
      </c>
      <c r="AC866" s="310" t="e">
        <f t="shared" ca="1" si="402"/>
        <v>#N/A</v>
      </c>
      <c r="AD866" s="323" t="e">
        <f t="shared" ca="1" si="403"/>
        <v>#N/A</v>
      </c>
      <c r="AE866" s="324" t="e">
        <f t="shared" ca="1" si="382"/>
        <v>#N/A</v>
      </c>
      <c r="AG866" s="306">
        <f t="shared" ca="1" si="404"/>
        <v>2.2358843705544365</v>
      </c>
      <c r="AH866" s="304">
        <f t="shared" ca="1" si="405"/>
        <v>-7.5585603450996759</v>
      </c>
    </row>
    <row r="867" spans="1:34" x14ac:dyDescent="0.2">
      <c r="A867" s="347">
        <f t="shared" ca="1" si="383"/>
        <v>1E-4</v>
      </c>
      <c r="B867" s="304">
        <f t="shared" ca="1" si="384"/>
        <v>37.712600000000641</v>
      </c>
      <c r="D867" s="306">
        <f t="shared" ca="1" si="385"/>
        <v>-0.4254858781590436</v>
      </c>
      <c r="E867" s="307">
        <f t="shared" ca="1" si="386"/>
        <v>-2.2633892551833794</v>
      </c>
      <c r="F867" s="304">
        <f t="shared" ca="1" si="387"/>
        <v>2.303034770252578</v>
      </c>
      <c r="G867" s="306">
        <f t="shared" ca="1" si="388"/>
        <v>7.4369783696208032</v>
      </c>
      <c r="H867" s="307">
        <f t="shared" ca="1" si="389"/>
        <v>-131.90660643692794</v>
      </c>
      <c r="I867" s="304">
        <f t="shared" ca="1" si="390"/>
        <v>132.11609087835143</v>
      </c>
      <c r="J867" s="306">
        <f t="shared" ca="1" si="391"/>
        <v>515.22511340180665</v>
      </c>
      <c r="K867" s="307">
        <f t="shared" ca="1" si="392"/>
        <v>-4.5695215037581551</v>
      </c>
      <c r="L867" s="304">
        <f t="shared" ca="1" si="377"/>
        <v>515.24537650199034</v>
      </c>
      <c r="M867" s="306">
        <f t="shared" ca="1" si="393"/>
        <v>-1.5144753175389136</v>
      </c>
      <c r="N867" s="304">
        <f t="shared" ca="1" si="394"/>
        <v>-86.773043871714933</v>
      </c>
      <c r="P867" s="310">
        <f t="shared" ca="1" si="395"/>
        <v>23</v>
      </c>
      <c r="Q867" s="304">
        <f t="shared" ca="1" si="396"/>
        <v>0</v>
      </c>
      <c r="R867" s="306">
        <f t="shared" ca="1" si="397"/>
        <v>0</v>
      </c>
      <c r="S867" s="307">
        <f t="shared" ca="1" si="398"/>
        <v>7.4819999999999904</v>
      </c>
      <c r="T867" s="304">
        <f t="shared" ca="1" si="378"/>
        <v>73.398419999999916</v>
      </c>
      <c r="U867" s="311">
        <f t="shared" ca="1" si="379"/>
        <v>0</v>
      </c>
      <c r="V867" s="306">
        <f t="shared" ca="1" si="380"/>
        <v>1.2255598943066643</v>
      </c>
      <c r="W867" s="304">
        <f t="shared" ca="1" si="381"/>
        <v>56.553680530526883</v>
      </c>
      <c r="Y867" s="314" t="str">
        <f t="shared" ca="1" si="399"/>
        <v/>
      </c>
      <c r="Z867" s="315" t="str">
        <f t="shared" ca="1" si="400"/>
        <v/>
      </c>
      <c r="AA867" s="316" t="str">
        <f t="shared" ca="1" si="401"/>
        <v/>
      </c>
      <c r="AC867" s="310" t="e">
        <f t="shared" ca="1" si="402"/>
        <v>#N/A</v>
      </c>
      <c r="AD867" s="323" t="e">
        <f t="shared" ca="1" si="403"/>
        <v>#N/A</v>
      </c>
      <c r="AE867" s="324" t="e">
        <f t="shared" ca="1" si="382"/>
        <v>#N/A</v>
      </c>
      <c r="AG867" s="306">
        <f t="shared" ca="1" si="404"/>
        <v>2.2358490473487622</v>
      </c>
      <c r="AH867" s="304">
        <f t="shared" ca="1" si="405"/>
        <v>-7.558595899126666</v>
      </c>
    </row>
    <row r="868" spans="1:34" x14ac:dyDescent="0.2">
      <c r="A868" s="347">
        <f t="shared" ca="1" si="383"/>
        <v>1E-4</v>
      </c>
      <c r="B868" s="304">
        <f t="shared" ca="1" si="384"/>
        <v>37.712700000000645</v>
      </c>
      <c r="D868" s="306">
        <f t="shared" ca="1" si="385"/>
        <v>-0.42548472517887337</v>
      </c>
      <c r="E868" s="307">
        <f t="shared" ca="1" si="386"/>
        <v>-2.2633535799492055</v>
      </c>
      <c r="F868" s="304">
        <f t="shared" ca="1" si="387"/>
        <v>2.3029994961418088</v>
      </c>
      <c r="G868" s="306">
        <f t="shared" ca="1" si="388"/>
        <v>7.4369358211482854</v>
      </c>
      <c r="H868" s="307">
        <f t="shared" ca="1" si="389"/>
        <v>-131.90683277228595</v>
      </c>
      <c r="I868" s="304">
        <f t="shared" ca="1" si="390"/>
        <v>132.11631445973541</v>
      </c>
      <c r="J868" s="306">
        <f t="shared" ca="1" si="391"/>
        <v>515.22511340180665</v>
      </c>
      <c r="K868" s="307">
        <f t="shared" ca="1" si="392"/>
        <v>-4.5827121757186156</v>
      </c>
      <c r="L868" s="304">
        <f t="shared" ca="1" si="377"/>
        <v>515.24549365403482</v>
      </c>
      <c r="M868" s="306">
        <f t="shared" ca="1" si="393"/>
        <v>-1.5144757355168532</v>
      </c>
      <c r="N868" s="304">
        <f t="shared" ca="1" si="394"/>
        <v>-86.773067820086794</v>
      </c>
      <c r="P868" s="310">
        <f t="shared" ca="1" si="395"/>
        <v>23</v>
      </c>
      <c r="Q868" s="304">
        <f t="shared" ca="1" si="396"/>
        <v>0</v>
      </c>
      <c r="R868" s="306">
        <f t="shared" ca="1" si="397"/>
        <v>0</v>
      </c>
      <c r="S868" s="307">
        <f t="shared" ca="1" si="398"/>
        <v>7.4819999999999904</v>
      </c>
      <c r="T868" s="304">
        <f t="shared" ca="1" si="378"/>
        <v>73.398419999999916</v>
      </c>
      <c r="U868" s="311">
        <f t="shared" ca="1" si="379"/>
        <v>0</v>
      </c>
      <c r="V868" s="306">
        <f t="shared" ca="1" si="380"/>
        <v>1.2255615109036682</v>
      </c>
      <c r="W868" s="304">
        <f t="shared" ca="1" si="381"/>
        <v>56.553946541819322</v>
      </c>
      <c r="Y868" s="314" t="str">
        <f t="shared" ca="1" si="399"/>
        <v/>
      </c>
      <c r="Z868" s="315" t="str">
        <f t="shared" ca="1" si="400"/>
        <v/>
      </c>
      <c r="AA868" s="316" t="str">
        <f t="shared" ca="1" si="401"/>
        <v/>
      </c>
      <c r="AC868" s="310" t="e">
        <f t="shared" ca="1" si="402"/>
        <v>#N/A</v>
      </c>
      <c r="AD868" s="323" t="e">
        <f t="shared" ca="1" si="403"/>
        <v>#N/A</v>
      </c>
      <c r="AE868" s="324" t="e">
        <f t="shared" ca="1" si="382"/>
        <v>#N/A</v>
      </c>
      <c r="AG868" s="306">
        <f t="shared" ca="1" si="404"/>
        <v>2.2358137244023988</v>
      </c>
      <c r="AH868" s="304">
        <f t="shared" ca="1" si="405"/>
        <v>-7.5586314528905314</v>
      </c>
    </row>
    <row r="869" spans="1:34" x14ac:dyDescent="0.2">
      <c r="A869" s="347">
        <f t="shared" ca="1" si="383"/>
        <v>1E-4</v>
      </c>
      <c r="B869" s="304">
        <f t="shared" ca="1" si="384"/>
        <v>37.712800000000648</v>
      </c>
      <c r="D869" s="306">
        <f t="shared" ca="1" si="385"/>
        <v>-0.42548357218286342</v>
      </c>
      <c r="E869" s="307">
        <f t="shared" ca="1" si="386"/>
        <v>-2.2633179049790177</v>
      </c>
      <c r="F869" s="304">
        <f t="shared" ca="1" si="387"/>
        <v>2.3029642223004898</v>
      </c>
      <c r="G869" s="306">
        <f t="shared" ca="1" si="388"/>
        <v>7.4368932727910675</v>
      </c>
      <c r="H869" s="307">
        <f t="shared" ca="1" si="389"/>
        <v>-131.90705910407644</v>
      </c>
      <c r="I869" s="304">
        <f t="shared" ca="1" si="390"/>
        <v>132.11653803758711</v>
      </c>
      <c r="J869" s="306">
        <f t="shared" ca="1" si="391"/>
        <v>515.22511340180665</v>
      </c>
      <c r="K869" s="307">
        <f t="shared" ca="1" si="392"/>
        <v>-4.5959028703124334</v>
      </c>
      <c r="L869" s="304">
        <f t="shared" ca="1" si="377"/>
        <v>515.24561114394555</v>
      </c>
      <c r="M869" s="306">
        <f t="shared" ca="1" si="393"/>
        <v>-1.5144761534909865</v>
      </c>
      <c r="N869" s="304">
        <f t="shared" ca="1" si="394"/>
        <v>-86.77309176824059</v>
      </c>
      <c r="P869" s="310">
        <f t="shared" ca="1" si="395"/>
        <v>23</v>
      </c>
      <c r="Q869" s="304">
        <f t="shared" ca="1" si="396"/>
        <v>0</v>
      </c>
      <c r="R869" s="306">
        <f t="shared" ca="1" si="397"/>
        <v>0</v>
      </c>
      <c r="S869" s="307">
        <f t="shared" ca="1" si="398"/>
        <v>7.4819999999999904</v>
      </c>
      <c r="T869" s="304">
        <f t="shared" ca="1" si="378"/>
        <v>73.398419999999916</v>
      </c>
      <c r="U869" s="311">
        <f t="shared" ca="1" si="379"/>
        <v>0</v>
      </c>
      <c r="V869" s="306">
        <f t="shared" ca="1" si="380"/>
        <v>1.2255631275055792</v>
      </c>
      <c r="W869" s="304">
        <f t="shared" ca="1" si="381"/>
        <v>56.554212551143046</v>
      </c>
      <c r="Y869" s="314" t="str">
        <f t="shared" ca="1" si="399"/>
        <v/>
      </c>
      <c r="Z869" s="315" t="str">
        <f t="shared" ca="1" si="400"/>
        <v/>
      </c>
      <c r="AA869" s="316" t="str">
        <f t="shared" ca="1" si="401"/>
        <v/>
      </c>
      <c r="AC869" s="310" t="e">
        <f t="shared" ca="1" si="402"/>
        <v>#N/A</v>
      </c>
      <c r="AD869" s="323" t="e">
        <f t="shared" ca="1" si="403"/>
        <v>#N/A</v>
      </c>
      <c r="AE869" s="324" t="e">
        <f t="shared" ca="1" si="382"/>
        <v>#N/A</v>
      </c>
      <c r="AG869" s="306">
        <f t="shared" ca="1" si="404"/>
        <v>2.2357784017153604</v>
      </c>
      <c r="AH869" s="304">
        <f t="shared" ca="1" si="405"/>
        <v>-7.558667006391258</v>
      </c>
    </row>
    <row r="870" spans="1:34" x14ac:dyDescent="0.2">
      <c r="A870" s="347">
        <f t="shared" ca="1" si="383"/>
        <v>1E-4</v>
      </c>
      <c r="B870" s="304">
        <f t="shared" ca="1" si="384"/>
        <v>37.712900000000651</v>
      </c>
      <c r="D870" s="306">
        <f t="shared" ca="1" si="385"/>
        <v>-0.42548241917101864</v>
      </c>
      <c r="E870" s="307">
        <f t="shared" ca="1" si="386"/>
        <v>-2.2632822302728037</v>
      </c>
      <c r="F870" s="304">
        <f t="shared" ca="1" si="387"/>
        <v>2.3029289487286095</v>
      </c>
      <c r="G870" s="306">
        <f t="shared" ca="1" si="388"/>
        <v>7.4368507245491502</v>
      </c>
      <c r="H870" s="307">
        <f t="shared" ca="1" si="389"/>
        <v>-131.90728543229946</v>
      </c>
      <c r="I870" s="304">
        <f t="shared" ca="1" si="390"/>
        <v>132.11676161190655</v>
      </c>
      <c r="J870" s="306">
        <f t="shared" ca="1" si="391"/>
        <v>515.22511340180665</v>
      </c>
      <c r="K870" s="307">
        <f t="shared" ca="1" si="392"/>
        <v>-4.6090935875392525</v>
      </c>
      <c r="L870" s="304">
        <f t="shared" ca="1" si="377"/>
        <v>515.24572897172402</v>
      </c>
      <c r="M870" s="306">
        <f t="shared" ca="1" si="393"/>
        <v>-1.514476571461314</v>
      </c>
      <c r="N870" s="304">
        <f t="shared" ca="1" si="394"/>
        <v>-86.773115716176306</v>
      </c>
      <c r="P870" s="310">
        <f t="shared" ca="1" si="395"/>
        <v>23</v>
      </c>
      <c r="Q870" s="304">
        <f t="shared" ca="1" si="396"/>
        <v>0</v>
      </c>
      <c r="R870" s="306">
        <f t="shared" ca="1" si="397"/>
        <v>0</v>
      </c>
      <c r="S870" s="307">
        <f t="shared" ca="1" si="398"/>
        <v>7.4819999999999904</v>
      </c>
      <c r="T870" s="304">
        <f t="shared" ca="1" si="378"/>
        <v>73.398419999999916</v>
      </c>
      <c r="U870" s="311">
        <f t="shared" ca="1" si="379"/>
        <v>0</v>
      </c>
      <c r="V870" s="306">
        <f t="shared" ca="1" si="380"/>
        <v>1.2255647441123971</v>
      </c>
      <c r="W870" s="304">
        <f t="shared" ca="1" si="381"/>
        <v>56.554478558498012</v>
      </c>
      <c r="Y870" s="314" t="str">
        <f t="shared" ca="1" si="399"/>
        <v/>
      </c>
      <c r="Z870" s="315" t="str">
        <f t="shared" ca="1" si="400"/>
        <v/>
      </c>
      <c r="AA870" s="316" t="str">
        <f t="shared" ca="1" si="401"/>
        <v/>
      </c>
      <c r="AC870" s="310" t="e">
        <f t="shared" ca="1" si="402"/>
        <v>#N/A</v>
      </c>
      <c r="AD870" s="323" t="e">
        <f t="shared" ca="1" si="403"/>
        <v>#N/A</v>
      </c>
      <c r="AE870" s="324" t="e">
        <f t="shared" ca="1" si="382"/>
        <v>#N/A</v>
      </c>
      <c r="AG870" s="306">
        <f t="shared" ca="1" si="404"/>
        <v>2.2357430792876363</v>
      </c>
      <c r="AH870" s="304">
        <f t="shared" ca="1" si="405"/>
        <v>-7.5587025596288582</v>
      </c>
    </row>
    <row r="871" spans="1:34" x14ac:dyDescent="0.2">
      <c r="A871" s="347">
        <f t="shared" ca="1" si="383"/>
        <v>1E-4</v>
      </c>
      <c r="B871" s="304">
        <f t="shared" ca="1" si="384"/>
        <v>37.713000000000655</v>
      </c>
      <c r="D871" s="306">
        <f t="shared" ca="1" si="385"/>
        <v>-0.42548126614333603</v>
      </c>
      <c r="E871" s="307">
        <f t="shared" ca="1" si="386"/>
        <v>-2.2632465558305705</v>
      </c>
      <c r="F871" s="304">
        <f t="shared" ca="1" si="387"/>
        <v>2.3028936754261746</v>
      </c>
      <c r="G871" s="306">
        <f t="shared" ca="1" si="388"/>
        <v>7.4368081764225362</v>
      </c>
      <c r="H871" s="307">
        <f t="shared" ca="1" si="389"/>
        <v>-131.90751175695505</v>
      </c>
      <c r="I871" s="304">
        <f t="shared" ca="1" si="390"/>
        <v>132.11698518269384</v>
      </c>
      <c r="J871" s="306">
        <f t="shared" ca="1" si="391"/>
        <v>515.22511340180665</v>
      </c>
      <c r="K871" s="307">
        <f t="shared" ca="1" si="392"/>
        <v>-4.6222843273987149</v>
      </c>
      <c r="L871" s="304">
        <f t="shared" ca="1" si="377"/>
        <v>515.2458471373717</v>
      </c>
      <c r="M871" s="306">
        <f t="shared" ca="1" si="393"/>
        <v>-1.5144769894278356</v>
      </c>
      <c r="N871" s="304">
        <f t="shared" ca="1" si="394"/>
        <v>-86.773139663893971</v>
      </c>
      <c r="P871" s="310">
        <f t="shared" ca="1" si="395"/>
        <v>23</v>
      </c>
      <c r="Q871" s="304">
        <f t="shared" ca="1" si="396"/>
        <v>0</v>
      </c>
      <c r="R871" s="306">
        <f t="shared" ca="1" si="397"/>
        <v>0</v>
      </c>
      <c r="S871" s="307">
        <f t="shared" ca="1" si="398"/>
        <v>7.4819999999999904</v>
      </c>
      <c r="T871" s="304">
        <f t="shared" ca="1" si="378"/>
        <v>73.398419999999916</v>
      </c>
      <c r="U871" s="311">
        <f t="shared" ca="1" si="379"/>
        <v>0</v>
      </c>
      <c r="V871" s="306">
        <f t="shared" ca="1" si="380"/>
        <v>1.2255663607241212</v>
      </c>
      <c r="W871" s="304">
        <f t="shared" ca="1" si="381"/>
        <v>56.55474456388427</v>
      </c>
      <c r="Y871" s="314" t="str">
        <f t="shared" ca="1" si="399"/>
        <v/>
      </c>
      <c r="Z871" s="315" t="str">
        <f t="shared" ca="1" si="400"/>
        <v/>
      </c>
      <c r="AA871" s="316" t="str">
        <f t="shared" ca="1" si="401"/>
        <v/>
      </c>
      <c r="AC871" s="310" t="e">
        <f t="shared" ca="1" si="402"/>
        <v>#N/A</v>
      </c>
      <c r="AD871" s="323" t="e">
        <f t="shared" ca="1" si="403"/>
        <v>#N/A</v>
      </c>
      <c r="AE871" s="324" t="e">
        <f t="shared" ca="1" si="382"/>
        <v>#N/A</v>
      </c>
      <c r="AG871" s="306">
        <f t="shared" ca="1" si="404"/>
        <v>2.2357077571192292</v>
      </c>
      <c r="AH871" s="304">
        <f t="shared" ca="1" si="405"/>
        <v>-7.5587381126033257</v>
      </c>
    </row>
    <row r="872" spans="1:34" x14ac:dyDescent="0.2">
      <c r="A872" s="347">
        <f t="shared" ca="1" si="383"/>
        <v>1E-4</v>
      </c>
      <c r="B872" s="304">
        <f t="shared" ca="1" si="384"/>
        <v>37.713100000000658</v>
      </c>
      <c r="D872" s="306">
        <f t="shared" ca="1" si="385"/>
        <v>-0.42548011309981676</v>
      </c>
      <c r="E872" s="307">
        <f t="shared" ca="1" si="386"/>
        <v>-2.2632108816523111</v>
      </c>
      <c r="F872" s="304">
        <f t="shared" ca="1" si="387"/>
        <v>2.3028584023931788</v>
      </c>
      <c r="G872" s="306">
        <f t="shared" ca="1" si="388"/>
        <v>7.4367656284112265</v>
      </c>
      <c r="H872" s="307">
        <f t="shared" ca="1" si="389"/>
        <v>-131.90773807804322</v>
      </c>
      <c r="I872" s="304">
        <f t="shared" ca="1" si="390"/>
        <v>132.1172087499489</v>
      </c>
      <c r="J872" s="306">
        <f t="shared" ca="1" si="391"/>
        <v>515.22511340180665</v>
      </c>
      <c r="K872" s="307">
        <f t="shared" ca="1" si="392"/>
        <v>-4.6354750898904644</v>
      </c>
      <c r="L872" s="304">
        <f t="shared" ca="1" si="377"/>
        <v>515.24596564089029</v>
      </c>
      <c r="M872" s="306">
        <f t="shared" ca="1" si="393"/>
        <v>-1.5144774073905511</v>
      </c>
      <c r="N872" s="304">
        <f t="shared" ca="1" si="394"/>
        <v>-86.773163611393571</v>
      </c>
      <c r="P872" s="310">
        <f t="shared" ca="1" si="395"/>
        <v>23</v>
      </c>
      <c r="Q872" s="304">
        <f t="shared" ca="1" si="396"/>
        <v>0</v>
      </c>
      <c r="R872" s="306">
        <f t="shared" ca="1" si="397"/>
        <v>0</v>
      </c>
      <c r="S872" s="307">
        <f t="shared" ca="1" si="398"/>
        <v>7.4819999999999904</v>
      </c>
      <c r="T872" s="304">
        <f t="shared" ca="1" si="378"/>
        <v>73.398419999999916</v>
      </c>
      <c r="U872" s="311">
        <f t="shared" ca="1" si="379"/>
        <v>0</v>
      </c>
      <c r="V872" s="306">
        <f t="shared" ca="1" si="380"/>
        <v>1.2255679773407522</v>
      </c>
      <c r="W872" s="304">
        <f t="shared" ca="1" si="381"/>
        <v>56.55501056730175</v>
      </c>
      <c r="Y872" s="314" t="str">
        <f t="shared" ca="1" si="399"/>
        <v/>
      </c>
      <c r="Z872" s="315" t="str">
        <f t="shared" ca="1" si="400"/>
        <v/>
      </c>
      <c r="AA872" s="316" t="str">
        <f t="shared" ca="1" si="401"/>
        <v/>
      </c>
      <c r="AC872" s="310" t="e">
        <f t="shared" ca="1" si="402"/>
        <v>#N/A</v>
      </c>
      <c r="AD872" s="323" t="e">
        <f t="shared" ca="1" si="403"/>
        <v>#N/A</v>
      </c>
      <c r="AE872" s="324" t="e">
        <f t="shared" ca="1" si="382"/>
        <v>#N/A</v>
      </c>
      <c r="AG872" s="306">
        <f t="shared" ca="1" si="404"/>
        <v>2.2356724352101374</v>
      </c>
      <c r="AH872" s="304">
        <f t="shared" ca="1" si="405"/>
        <v>-7.5587736653146678</v>
      </c>
    </row>
    <row r="873" spans="1:34" x14ac:dyDescent="0.2">
      <c r="A873" s="347">
        <f t="shared" ca="1" si="383"/>
        <v>1E-4</v>
      </c>
      <c r="B873" s="304">
        <f t="shared" ca="1" si="384"/>
        <v>37.713200000000661</v>
      </c>
      <c r="D873" s="306">
        <f t="shared" ca="1" si="385"/>
        <v>-0.42547896004046254</v>
      </c>
      <c r="E873" s="307">
        <f t="shared" ca="1" si="386"/>
        <v>-2.2631752077380343</v>
      </c>
      <c r="F873" s="304">
        <f t="shared" ca="1" si="387"/>
        <v>2.3028231296296311</v>
      </c>
      <c r="G873" s="306">
        <f t="shared" ca="1" si="388"/>
        <v>7.4367230805152227</v>
      </c>
      <c r="H873" s="307">
        <f t="shared" ca="1" si="389"/>
        <v>-131.90796439556399</v>
      </c>
      <c r="I873" s="304">
        <f t="shared" ca="1" si="390"/>
        <v>132.1174323136718</v>
      </c>
      <c r="J873" s="306">
        <f t="shared" ca="1" si="391"/>
        <v>515.22511340180665</v>
      </c>
      <c r="K873" s="307">
        <f t="shared" ca="1" si="392"/>
        <v>-4.648665875014145</v>
      </c>
      <c r="L873" s="304">
        <f t="shared" ca="1" si="377"/>
        <v>515.24608448228116</v>
      </c>
      <c r="M873" s="306">
        <f t="shared" ca="1" si="393"/>
        <v>-1.5144778253494611</v>
      </c>
      <c r="N873" s="304">
        <f t="shared" ca="1" si="394"/>
        <v>-86.773187558675119</v>
      </c>
      <c r="P873" s="310">
        <f t="shared" ca="1" si="395"/>
        <v>23</v>
      </c>
      <c r="Q873" s="304">
        <f t="shared" ca="1" si="396"/>
        <v>0</v>
      </c>
      <c r="R873" s="306">
        <f t="shared" ca="1" si="397"/>
        <v>0</v>
      </c>
      <c r="S873" s="307">
        <f t="shared" ca="1" si="398"/>
        <v>7.4819999999999904</v>
      </c>
      <c r="T873" s="304">
        <f t="shared" ca="1" si="378"/>
        <v>73.398419999999916</v>
      </c>
      <c r="U873" s="311">
        <f t="shared" ca="1" si="379"/>
        <v>0</v>
      </c>
      <c r="V873" s="306">
        <f t="shared" ca="1" si="380"/>
        <v>1.2255695939622901</v>
      </c>
      <c r="W873" s="304">
        <f t="shared" ca="1" si="381"/>
        <v>56.555276568750507</v>
      </c>
      <c r="Y873" s="314" t="str">
        <f t="shared" ca="1" si="399"/>
        <v/>
      </c>
      <c r="Z873" s="315" t="str">
        <f t="shared" ca="1" si="400"/>
        <v/>
      </c>
      <c r="AA873" s="316" t="str">
        <f t="shared" ca="1" si="401"/>
        <v/>
      </c>
      <c r="AC873" s="310" t="e">
        <f t="shared" ca="1" si="402"/>
        <v>#N/A</v>
      </c>
      <c r="AD873" s="323" t="e">
        <f t="shared" ca="1" si="403"/>
        <v>#N/A</v>
      </c>
      <c r="AE873" s="324" t="e">
        <f t="shared" ca="1" si="382"/>
        <v>#N/A</v>
      </c>
      <c r="AG873" s="306">
        <f t="shared" ca="1" si="404"/>
        <v>2.2356371135603714</v>
      </c>
      <c r="AH873" s="304">
        <f t="shared" ca="1" si="405"/>
        <v>-7.5588092177628736</v>
      </c>
    </row>
    <row r="874" spans="1:34" x14ac:dyDescent="0.2">
      <c r="A874" s="347">
        <f t="shared" ca="1" si="383"/>
        <v>1E-4</v>
      </c>
      <c r="B874" s="304">
        <f t="shared" ca="1" si="384"/>
        <v>37.713300000000665</v>
      </c>
      <c r="D874" s="306">
        <f t="shared" ca="1" si="385"/>
        <v>-0.42547780696527132</v>
      </c>
      <c r="E874" s="307">
        <f t="shared" ca="1" si="386"/>
        <v>-2.2631395340877329</v>
      </c>
      <c r="F874" s="304">
        <f t="shared" ca="1" si="387"/>
        <v>2.3027878571355238</v>
      </c>
      <c r="G874" s="306">
        <f t="shared" ca="1" si="388"/>
        <v>7.4366805327345258</v>
      </c>
      <c r="H874" s="307">
        <f t="shared" ca="1" si="389"/>
        <v>-131.90819070951741</v>
      </c>
      <c r="I874" s="304">
        <f t="shared" ca="1" si="390"/>
        <v>132.11765587386256</v>
      </c>
      <c r="J874" s="306">
        <f t="shared" ca="1" si="391"/>
        <v>515.22511340180665</v>
      </c>
      <c r="K874" s="307">
        <f t="shared" ca="1" si="392"/>
        <v>-4.6618566827693995</v>
      </c>
      <c r="L874" s="304">
        <f t="shared" ca="1" si="377"/>
        <v>515.24620366154591</v>
      </c>
      <c r="M874" s="306">
        <f t="shared" ca="1" si="393"/>
        <v>-1.5144782433045652</v>
      </c>
      <c r="N874" s="304">
        <f t="shared" ca="1" si="394"/>
        <v>-86.773211505738615</v>
      </c>
      <c r="P874" s="310">
        <f t="shared" ca="1" si="395"/>
        <v>23</v>
      </c>
      <c r="Q874" s="304">
        <f t="shared" ca="1" si="396"/>
        <v>0</v>
      </c>
      <c r="R874" s="306">
        <f t="shared" ca="1" si="397"/>
        <v>0</v>
      </c>
      <c r="S874" s="307">
        <f t="shared" ca="1" si="398"/>
        <v>7.4819999999999904</v>
      </c>
      <c r="T874" s="304">
        <f t="shared" ca="1" si="378"/>
        <v>73.398419999999916</v>
      </c>
      <c r="U874" s="311">
        <f t="shared" ca="1" si="379"/>
        <v>0</v>
      </c>
      <c r="V874" s="306">
        <f t="shared" ca="1" si="380"/>
        <v>1.2255712105887346</v>
      </c>
      <c r="W874" s="304">
        <f t="shared" ca="1" si="381"/>
        <v>56.5555425682305</v>
      </c>
      <c r="Y874" s="314" t="str">
        <f t="shared" ca="1" si="399"/>
        <v/>
      </c>
      <c r="Z874" s="315" t="str">
        <f t="shared" ca="1" si="400"/>
        <v/>
      </c>
      <c r="AA874" s="316" t="str">
        <f t="shared" ca="1" si="401"/>
        <v/>
      </c>
      <c r="AC874" s="310" t="e">
        <f t="shared" ca="1" si="402"/>
        <v>#N/A</v>
      </c>
      <c r="AD874" s="323" t="e">
        <f t="shared" ca="1" si="403"/>
        <v>#N/A</v>
      </c>
      <c r="AE874" s="324" t="e">
        <f t="shared" ca="1" si="382"/>
        <v>#N/A</v>
      </c>
      <c r="AG874" s="306">
        <f t="shared" ca="1" si="404"/>
        <v>2.2356017921699172</v>
      </c>
      <c r="AH874" s="304">
        <f t="shared" ca="1" si="405"/>
        <v>-7.5588447699479522</v>
      </c>
    </row>
    <row r="875" spans="1:34" x14ac:dyDescent="0.2">
      <c r="A875" s="347">
        <f t="shared" ca="1" si="383"/>
        <v>1E-4</v>
      </c>
      <c r="B875" s="304">
        <f t="shared" ca="1" si="384"/>
        <v>37.713400000000668</v>
      </c>
      <c r="D875" s="306">
        <f t="shared" ca="1" si="385"/>
        <v>-0.4254766538742451</v>
      </c>
      <c r="E875" s="307">
        <f t="shared" ca="1" si="386"/>
        <v>-2.2631038607014125</v>
      </c>
      <c r="F875" s="304">
        <f t="shared" ca="1" si="387"/>
        <v>2.3027525849108632</v>
      </c>
      <c r="G875" s="306">
        <f t="shared" ca="1" si="388"/>
        <v>7.4366379850691384</v>
      </c>
      <c r="H875" s="307">
        <f t="shared" ca="1" si="389"/>
        <v>-131.90841701990348</v>
      </c>
      <c r="I875" s="304">
        <f t="shared" ca="1" si="390"/>
        <v>132.11787943052119</v>
      </c>
      <c r="J875" s="306">
        <f t="shared" ca="1" si="391"/>
        <v>515.22511340180665</v>
      </c>
      <c r="K875" s="307">
        <f t="shared" ca="1" si="392"/>
        <v>-4.6750475131558709</v>
      </c>
      <c r="L875" s="304">
        <f t="shared" ca="1" si="377"/>
        <v>515.24632317868588</v>
      </c>
      <c r="M875" s="306">
        <f t="shared" ca="1" si="393"/>
        <v>-1.5144786612558636</v>
      </c>
      <c r="N875" s="304">
        <f t="shared" ca="1" si="394"/>
        <v>-86.773235452584046</v>
      </c>
      <c r="P875" s="310">
        <f t="shared" ca="1" si="395"/>
        <v>23</v>
      </c>
      <c r="Q875" s="304">
        <f t="shared" ca="1" si="396"/>
        <v>0</v>
      </c>
      <c r="R875" s="306">
        <f t="shared" ca="1" si="397"/>
        <v>0</v>
      </c>
      <c r="S875" s="307">
        <f t="shared" ca="1" si="398"/>
        <v>7.4819999999999904</v>
      </c>
      <c r="T875" s="304">
        <f t="shared" ca="1" si="378"/>
        <v>73.398419999999916</v>
      </c>
      <c r="U875" s="311">
        <f t="shared" ca="1" si="379"/>
        <v>0</v>
      </c>
      <c r="V875" s="306">
        <f t="shared" ca="1" si="380"/>
        <v>1.2255728272200852</v>
      </c>
      <c r="W875" s="304">
        <f t="shared" ca="1" si="381"/>
        <v>56.5558085657417</v>
      </c>
      <c r="Y875" s="314" t="str">
        <f t="shared" ca="1" si="399"/>
        <v/>
      </c>
      <c r="Z875" s="315" t="str">
        <f t="shared" ca="1" si="400"/>
        <v/>
      </c>
      <c r="AA875" s="316" t="str">
        <f t="shared" ca="1" si="401"/>
        <v/>
      </c>
      <c r="AC875" s="310" t="e">
        <f t="shared" ca="1" si="402"/>
        <v>#N/A</v>
      </c>
      <c r="AD875" s="323" t="e">
        <f t="shared" ca="1" si="403"/>
        <v>#N/A</v>
      </c>
      <c r="AE875" s="324" t="e">
        <f t="shared" ca="1" si="382"/>
        <v>#N/A</v>
      </c>
      <c r="AG875" s="306">
        <f t="shared" ca="1" si="404"/>
        <v>2.2355664710387861</v>
      </c>
      <c r="AH875" s="304">
        <f t="shared" ca="1" si="405"/>
        <v>-7.5588803218698972</v>
      </c>
    </row>
    <row r="876" spans="1:34" x14ac:dyDescent="0.2">
      <c r="A876" s="347">
        <f t="shared" ca="1" si="383"/>
        <v>1E-4</v>
      </c>
      <c r="B876" s="304">
        <f t="shared" ca="1" si="384"/>
        <v>37.713500000000671</v>
      </c>
      <c r="D876" s="306">
        <f t="shared" ca="1" si="385"/>
        <v>-0.42547550076738289</v>
      </c>
      <c r="E876" s="307">
        <f t="shared" ca="1" si="386"/>
        <v>-2.2630681875790764</v>
      </c>
      <c r="F876" s="304">
        <f t="shared" ca="1" si="387"/>
        <v>2.3027173129556524</v>
      </c>
      <c r="G876" s="306">
        <f t="shared" ca="1" si="388"/>
        <v>7.4365954375190615</v>
      </c>
      <c r="H876" s="307">
        <f t="shared" ca="1" si="389"/>
        <v>-131.90864332672223</v>
      </c>
      <c r="I876" s="304">
        <f t="shared" ca="1" si="390"/>
        <v>132.11810298364773</v>
      </c>
      <c r="J876" s="306">
        <f t="shared" ca="1" si="391"/>
        <v>515.22511340180665</v>
      </c>
      <c r="K876" s="307">
        <f t="shared" ca="1" si="392"/>
        <v>-4.6882383661732021</v>
      </c>
      <c r="L876" s="304">
        <f t="shared" ca="1" si="377"/>
        <v>515.24644303370269</v>
      </c>
      <c r="M876" s="306">
        <f t="shared" ca="1" si="393"/>
        <v>-1.5144790792033564</v>
      </c>
      <c r="N876" s="304">
        <f t="shared" ca="1" si="394"/>
        <v>-86.773259399211454</v>
      </c>
      <c r="P876" s="310">
        <f t="shared" ca="1" si="395"/>
        <v>23</v>
      </c>
      <c r="Q876" s="304">
        <f t="shared" ca="1" si="396"/>
        <v>0</v>
      </c>
      <c r="R876" s="306">
        <f t="shared" ca="1" si="397"/>
        <v>0</v>
      </c>
      <c r="S876" s="307">
        <f t="shared" ca="1" si="398"/>
        <v>7.4819999999999904</v>
      </c>
      <c r="T876" s="304">
        <f t="shared" ca="1" si="378"/>
        <v>73.398419999999916</v>
      </c>
      <c r="U876" s="311">
        <f t="shared" ca="1" si="379"/>
        <v>0</v>
      </c>
      <c r="V876" s="306">
        <f t="shared" ca="1" si="380"/>
        <v>1.2255744438563425</v>
      </c>
      <c r="W876" s="304">
        <f t="shared" ca="1" si="381"/>
        <v>56.556074561284149</v>
      </c>
      <c r="Y876" s="314" t="str">
        <f t="shared" ca="1" si="399"/>
        <v/>
      </c>
      <c r="Z876" s="315" t="str">
        <f t="shared" ca="1" si="400"/>
        <v/>
      </c>
      <c r="AA876" s="316" t="str">
        <f t="shared" ca="1" si="401"/>
        <v/>
      </c>
      <c r="AC876" s="310" t="e">
        <f t="shared" ca="1" si="402"/>
        <v>#N/A</v>
      </c>
      <c r="AD876" s="323" t="e">
        <f t="shared" ca="1" si="403"/>
        <v>#N/A</v>
      </c>
      <c r="AE876" s="324" t="e">
        <f t="shared" ca="1" si="382"/>
        <v>#N/A</v>
      </c>
      <c r="AG876" s="306">
        <f t="shared" ca="1" si="404"/>
        <v>2.2355311501669766</v>
      </c>
      <c r="AH876" s="304">
        <f t="shared" ca="1" si="405"/>
        <v>-7.5589158735287052</v>
      </c>
    </row>
    <row r="877" spans="1:34" x14ac:dyDescent="0.2">
      <c r="A877" s="347">
        <f t="shared" ca="1" si="383"/>
        <v>1E-4</v>
      </c>
      <c r="B877" s="304">
        <f t="shared" ca="1" si="384"/>
        <v>37.713600000000675</v>
      </c>
      <c r="D877" s="306">
        <f t="shared" ca="1" si="385"/>
        <v>-0.42547434764468561</v>
      </c>
      <c r="E877" s="307">
        <f t="shared" ca="1" si="386"/>
        <v>-2.2630325147207202</v>
      </c>
      <c r="F877" s="304">
        <f t="shared" ca="1" si="387"/>
        <v>2.3026820412698878</v>
      </c>
      <c r="G877" s="306">
        <f t="shared" ca="1" si="388"/>
        <v>7.4365528900842968</v>
      </c>
      <c r="H877" s="307">
        <f t="shared" ca="1" si="389"/>
        <v>-131.90886962997371</v>
      </c>
      <c r="I877" s="304">
        <f t="shared" ca="1" si="390"/>
        <v>132.11832653324223</v>
      </c>
      <c r="J877" s="306">
        <f t="shared" ca="1" si="391"/>
        <v>515.22511340180665</v>
      </c>
      <c r="K877" s="307">
        <f t="shared" ca="1" si="392"/>
        <v>-4.7014292418210371</v>
      </c>
      <c r="L877" s="304">
        <f t="shared" ca="1" si="377"/>
        <v>515.2465632265978</v>
      </c>
      <c r="M877" s="306">
        <f t="shared" ca="1" si="393"/>
        <v>-1.5144794971470437</v>
      </c>
      <c r="N877" s="304">
        <f t="shared" ca="1" si="394"/>
        <v>-86.773283345620797</v>
      </c>
      <c r="P877" s="310">
        <f t="shared" ca="1" si="395"/>
        <v>23</v>
      </c>
      <c r="Q877" s="304">
        <f t="shared" ca="1" si="396"/>
        <v>0</v>
      </c>
      <c r="R877" s="306">
        <f t="shared" ca="1" si="397"/>
        <v>0</v>
      </c>
      <c r="S877" s="307">
        <f t="shared" ca="1" si="398"/>
        <v>7.4819999999999904</v>
      </c>
      <c r="T877" s="304">
        <f t="shared" ca="1" si="378"/>
        <v>73.398419999999916</v>
      </c>
      <c r="U877" s="311">
        <f t="shared" ca="1" si="379"/>
        <v>0</v>
      </c>
      <c r="V877" s="306">
        <f t="shared" ca="1" si="380"/>
        <v>1.2255760604975066</v>
      </c>
      <c r="W877" s="304">
        <f t="shared" ca="1" si="381"/>
        <v>56.556340554857861</v>
      </c>
      <c r="Y877" s="314" t="str">
        <f t="shared" ca="1" si="399"/>
        <v/>
      </c>
      <c r="Z877" s="315" t="str">
        <f t="shared" ca="1" si="400"/>
        <v/>
      </c>
      <c r="AA877" s="316" t="str">
        <f t="shared" ca="1" si="401"/>
        <v/>
      </c>
      <c r="AC877" s="310" t="e">
        <f t="shared" ca="1" si="402"/>
        <v>#N/A</v>
      </c>
      <c r="AD877" s="323" t="e">
        <f t="shared" ca="1" si="403"/>
        <v>#N/A</v>
      </c>
      <c r="AE877" s="324" t="e">
        <f t="shared" ca="1" si="382"/>
        <v>#N/A</v>
      </c>
      <c r="AG877" s="306">
        <f t="shared" ca="1" si="404"/>
        <v>2.2354958295544884</v>
      </c>
      <c r="AH877" s="304">
        <f t="shared" ca="1" si="405"/>
        <v>-7.5589514249243814</v>
      </c>
    </row>
    <row r="878" spans="1:34" x14ac:dyDescent="0.2">
      <c r="A878" s="347">
        <f t="shared" ca="1" si="383"/>
        <v>1E-4</v>
      </c>
      <c r="B878" s="304">
        <f t="shared" ca="1" si="384"/>
        <v>37.713700000000678</v>
      </c>
      <c r="D878" s="306">
        <f t="shared" ca="1" si="385"/>
        <v>-0.42547319450615412</v>
      </c>
      <c r="E878" s="307">
        <f t="shared" ca="1" si="386"/>
        <v>-2.2629968421263413</v>
      </c>
      <c r="F878" s="304">
        <f t="shared" ca="1" si="387"/>
        <v>2.3026467698535669</v>
      </c>
      <c r="G878" s="306">
        <f t="shared" ca="1" si="388"/>
        <v>7.436510342764846</v>
      </c>
      <c r="H878" s="307">
        <f t="shared" ca="1" si="389"/>
        <v>-131.90909592965792</v>
      </c>
      <c r="I878" s="304">
        <f t="shared" ca="1" si="390"/>
        <v>132.1185500793047</v>
      </c>
      <c r="J878" s="306">
        <f t="shared" ca="1" si="391"/>
        <v>515.22511340180665</v>
      </c>
      <c r="K878" s="307">
        <f t="shared" ca="1" si="392"/>
        <v>-4.7146201400990186</v>
      </c>
      <c r="L878" s="304">
        <f t="shared" ca="1" si="377"/>
        <v>515.24668375737269</v>
      </c>
      <c r="M878" s="306">
        <f t="shared" ca="1" si="393"/>
        <v>-1.5144799150869255</v>
      </c>
      <c r="N878" s="304">
        <f t="shared" ca="1" si="394"/>
        <v>-86.773307291812117</v>
      </c>
      <c r="P878" s="310">
        <f t="shared" ca="1" si="395"/>
        <v>23</v>
      </c>
      <c r="Q878" s="304">
        <f t="shared" ca="1" si="396"/>
        <v>0</v>
      </c>
      <c r="R878" s="306">
        <f t="shared" ca="1" si="397"/>
        <v>0</v>
      </c>
      <c r="S878" s="307">
        <f t="shared" ca="1" si="398"/>
        <v>7.4819999999999904</v>
      </c>
      <c r="T878" s="304">
        <f t="shared" ca="1" si="378"/>
        <v>73.398419999999916</v>
      </c>
      <c r="U878" s="311">
        <f t="shared" ca="1" si="379"/>
        <v>0</v>
      </c>
      <c r="V878" s="306">
        <f t="shared" ca="1" si="380"/>
        <v>1.2255776771435767</v>
      </c>
      <c r="W878" s="304">
        <f t="shared" ca="1" si="381"/>
        <v>56.556606546462802</v>
      </c>
      <c r="Y878" s="314" t="str">
        <f t="shared" ca="1" si="399"/>
        <v/>
      </c>
      <c r="Z878" s="315" t="str">
        <f t="shared" ca="1" si="400"/>
        <v/>
      </c>
      <c r="AA878" s="316" t="str">
        <f t="shared" ca="1" si="401"/>
        <v/>
      </c>
      <c r="AC878" s="310" t="e">
        <f t="shared" ca="1" si="402"/>
        <v>#N/A</v>
      </c>
      <c r="AD878" s="323" t="e">
        <f t="shared" ca="1" si="403"/>
        <v>#N/A</v>
      </c>
      <c r="AE878" s="324" t="e">
        <f t="shared" ca="1" si="382"/>
        <v>#N/A</v>
      </c>
      <c r="AG878" s="306">
        <f t="shared" ca="1" si="404"/>
        <v>2.2354605092013182</v>
      </c>
      <c r="AH878" s="304">
        <f t="shared" ca="1" si="405"/>
        <v>-7.5589869760569277</v>
      </c>
    </row>
    <row r="879" spans="1:34" x14ac:dyDescent="0.2">
      <c r="A879" s="347">
        <f t="shared" ca="1" si="383"/>
        <v>1E-4</v>
      </c>
      <c r="B879" s="304">
        <f t="shared" ca="1" si="384"/>
        <v>37.713800000000681</v>
      </c>
      <c r="D879" s="306">
        <f t="shared" ca="1" si="385"/>
        <v>-0.42547204135178718</v>
      </c>
      <c r="E879" s="307">
        <f t="shared" ca="1" si="386"/>
        <v>-2.2629611697959442</v>
      </c>
      <c r="F879" s="304">
        <f t="shared" ca="1" si="387"/>
        <v>2.3026114987066935</v>
      </c>
      <c r="G879" s="306">
        <f t="shared" ca="1" si="388"/>
        <v>7.436467795560711</v>
      </c>
      <c r="H879" s="307">
        <f t="shared" ca="1" si="389"/>
        <v>-131.9093222257749</v>
      </c>
      <c r="I879" s="304">
        <f t="shared" ca="1" si="390"/>
        <v>132.11877362183515</v>
      </c>
      <c r="J879" s="306">
        <f t="shared" ca="1" si="391"/>
        <v>515.22511340180665</v>
      </c>
      <c r="K879" s="307">
        <f t="shared" ca="1" si="392"/>
        <v>-4.7278110610067907</v>
      </c>
      <c r="L879" s="304">
        <f t="shared" ca="1" si="377"/>
        <v>515.24680462602885</v>
      </c>
      <c r="M879" s="306">
        <f t="shared" ca="1" si="393"/>
        <v>-1.5144803330230017</v>
      </c>
      <c r="N879" s="304">
        <f t="shared" ca="1" si="394"/>
        <v>-86.773331237785399</v>
      </c>
      <c r="P879" s="310">
        <f t="shared" ca="1" si="395"/>
        <v>23</v>
      </c>
      <c r="Q879" s="304">
        <f t="shared" ca="1" si="396"/>
        <v>0</v>
      </c>
      <c r="R879" s="306">
        <f t="shared" ca="1" si="397"/>
        <v>0</v>
      </c>
      <c r="S879" s="307">
        <f t="shared" ca="1" si="398"/>
        <v>7.4819999999999904</v>
      </c>
      <c r="T879" s="304">
        <f t="shared" ca="1" si="378"/>
        <v>73.398419999999916</v>
      </c>
      <c r="U879" s="311">
        <f t="shared" ca="1" si="379"/>
        <v>0</v>
      </c>
      <c r="V879" s="306">
        <f t="shared" ca="1" si="380"/>
        <v>1.2255792937945538</v>
      </c>
      <c r="W879" s="304">
        <f t="shared" ca="1" si="381"/>
        <v>56.556872536098986</v>
      </c>
      <c r="Y879" s="314" t="str">
        <f t="shared" ca="1" si="399"/>
        <v/>
      </c>
      <c r="Z879" s="315" t="str">
        <f t="shared" ca="1" si="400"/>
        <v/>
      </c>
      <c r="AA879" s="316" t="str">
        <f t="shared" ca="1" si="401"/>
        <v/>
      </c>
      <c r="AC879" s="310" t="e">
        <f t="shared" ca="1" si="402"/>
        <v>#N/A</v>
      </c>
      <c r="AD879" s="323" t="e">
        <f t="shared" ca="1" si="403"/>
        <v>#N/A</v>
      </c>
      <c r="AE879" s="324" t="e">
        <f t="shared" ca="1" si="382"/>
        <v>#N/A</v>
      </c>
      <c r="AG879" s="306">
        <f t="shared" ca="1" si="404"/>
        <v>2.2354251891074686</v>
      </c>
      <c r="AH879" s="304">
        <f t="shared" ca="1" si="405"/>
        <v>-7.5590225269263396</v>
      </c>
    </row>
    <row r="880" spans="1:34" x14ac:dyDescent="0.2">
      <c r="A880" s="347">
        <f t="shared" ca="1" si="383"/>
        <v>1E-4</v>
      </c>
      <c r="B880" s="304">
        <f t="shared" ca="1" si="384"/>
        <v>37.713900000000685</v>
      </c>
      <c r="D880" s="306">
        <f t="shared" ca="1" si="385"/>
        <v>-0.42547088818158746</v>
      </c>
      <c r="E880" s="307">
        <f t="shared" ca="1" si="386"/>
        <v>-2.262925497729527</v>
      </c>
      <c r="F880" s="304">
        <f t="shared" ca="1" si="387"/>
        <v>2.3025762278292672</v>
      </c>
      <c r="G880" s="306">
        <f t="shared" ca="1" si="388"/>
        <v>7.4364252484718927</v>
      </c>
      <c r="H880" s="307">
        <f t="shared" ca="1" si="389"/>
        <v>-131.90954851832467</v>
      </c>
      <c r="I880" s="304">
        <f t="shared" ca="1" si="390"/>
        <v>132.1189971608336</v>
      </c>
      <c r="J880" s="306">
        <f t="shared" ca="1" si="391"/>
        <v>515.22511340180665</v>
      </c>
      <c r="K880" s="307">
        <f t="shared" ca="1" si="392"/>
        <v>-4.7410020045439953</v>
      </c>
      <c r="L880" s="304">
        <f t="shared" ca="1" si="377"/>
        <v>515.24692583256774</v>
      </c>
      <c r="M880" s="306">
        <f t="shared" ca="1" si="393"/>
        <v>-1.5144807509552722</v>
      </c>
      <c r="N880" s="304">
        <f t="shared" ca="1" si="394"/>
        <v>-86.773355183540616</v>
      </c>
      <c r="P880" s="310">
        <f t="shared" ca="1" si="395"/>
        <v>23</v>
      </c>
      <c r="Q880" s="304">
        <f t="shared" ca="1" si="396"/>
        <v>0</v>
      </c>
      <c r="R880" s="306">
        <f t="shared" ca="1" si="397"/>
        <v>0</v>
      </c>
      <c r="S880" s="307">
        <f t="shared" ca="1" si="398"/>
        <v>7.4819999999999904</v>
      </c>
      <c r="T880" s="304">
        <f t="shared" ca="1" si="378"/>
        <v>73.398419999999916</v>
      </c>
      <c r="U880" s="311">
        <f t="shared" ca="1" si="379"/>
        <v>0</v>
      </c>
      <c r="V880" s="306">
        <f t="shared" ca="1" si="380"/>
        <v>1.2255809104504369</v>
      </c>
      <c r="W880" s="304">
        <f t="shared" ca="1" si="381"/>
        <v>56.557138523766369</v>
      </c>
      <c r="Y880" s="314" t="str">
        <f t="shared" ca="1" si="399"/>
        <v/>
      </c>
      <c r="Z880" s="315" t="str">
        <f t="shared" ca="1" si="400"/>
        <v/>
      </c>
      <c r="AA880" s="316" t="str">
        <f t="shared" ca="1" si="401"/>
        <v/>
      </c>
      <c r="AC880" s="310" t="e">
        <f t="shared" ca="1" si="402"/>
        <v>#N/A</v>
      </c>
      <c r="AD880" s="323" t="e">
        <f t="shared" ca="1" si="403"/>
        <v>#N/A</v>
      </c>
      <c r="AE880" s="324" t="e">
        <f t="shared" ca="1" si="382"/>
        <v>#N/A</v>
      </c>
      <c r="AG880" s="306">
        <f t="shared" ca="1" si="404"/>
        <v>2.2353898692729404</v>
      </c>
      <c r="AH880" s="304">
        <f t="shared" ca="1" si="405"/>
        <v>-7.5590580775326197</v>
      </c>
    </row>
    <row r="881" spans="1:34" x14ac:dyDescent="0.2">
      <c r="A881" s="347">
        <f t="shared" ca="1" si="383"/>
        <v>1E-4</v>
      </c>
      <c r="B881" s="304">
        <f t="shared" ca="1" si="384"/>
        <v>37.714000000000688</v>
      </c>
      <c r="D881" s="306">
        <f t="shared" ca="1" si="385"/>
        <v>-0.42546973499555524</v>
      </c>
      <c r="E881" s="307">
        <f t="shared" ca="1" si="386"/>
        <v>-2.262889825927096</v>
      </c>
      <c r="F881" s="304">
        <f t="shared" ca="1" si="387"/>
        <v>2.3025409572212938</v>
      </c>
      <c r="G881" s="306">
        <f t="shared" ca="1" si="388"/>
        <v>7.4363827014983928</v>
      </c>
      <c r="H881" s="307">
        <f t="shared" ca="1" si="389"/>
        <v>-131.90977480730726</v>
      </c>
      <c r="I881" s="304">
        <f t="shared" ca="1" si="390"/>
        <v>132.11922069630012</v>
      </c>
      <c r="J881" s="306">
        <f t="shared" ca="1" si="391"/>
        <v>515.22511340180665</v>
      </c>
      <c r="K881" s="307">
        <f t="shared" ca="1" si="392"/>
        <v>-4.7541929707102772</v>
      </c>
      <c r="L881" s="304">
        <f t="shared" ca="1" si="377"/>
        <v>515.24704737699108</v>
      </c>
      <c r="M881" s="306">
        <f t="shared" ca="1" si="393"/>
        <v>-1.5144811688837376</v>
      </c>
      <c r="N881" s="304">
        <f t="shared" ca="1" si="394"/>
        <v>-86.773379129077824</v>
      </c>
      <c r="P881" s="310">
        <f t="shared" ca="1" si="395"/>
        <v>23</v>
      </c>
      <c r="Q881" s="304">
        <f t="shared" ca="1" si="396"/>
        <v>0</v>
      </c>
      <c r="R881" s="306">
        <f t="shared" ca="1" si="397"/>
        <v>0</v>
      </c>
      <c r="S881" s="307">
        <f t="shared" ca="1" si="398"/>
        <v>7.4819999999999904</v>
      </c>
      <c r="T881" s="304">
        <f t="shared" ca="1" si="378"/>
        <v>73.398419999999916</v>
      </c>
      <c r="U881" s="311">
        <f t="shared" ca="1" si="379"/>
        <v>0</v>
      </c>
      <c r="V881" s="306">
        <f t="shared" ca="1" si="380"/>
        <v>1.2255825271112271</v>
      </c>
      <c r="W881" s="304">
        <f t="shared" ca="1" si="381"/>
        <v>56.557404509465023</v>
      </c>
      <c r="Y881" s="314" t="str">
        <f t="shared" ca="1" si="399"/>
        <v/>
      </c>
      <c r="Z881" s="315" t="str">
        <f t="shared" ca="1" si="400"/>
        <v/>
      </c>
      <c r="AA881" s="316" t="str">
        <f t="shared" ca="1" si="401"/>
        <v/>
      </c>
      <c r="AC881" s="310" t="e">
        <f t="shared" ca="1" si="402"/>
        <v>#N/A</v>
      </c>
      <c r="AD881" s="323" t="e">
        <f t="shared" ca="1" si="403"/>
        <v>#N/A</v>
      </c>
      <c r="AE881" s="324" t="e">
        <f t="shared" ca="1" si="382"/>
        <v>#N/A</v>
      </c>
      <c r="AG881" s="306">
        <f t="shared" ca="1" si="404"/>
        <v>2.2353545496977389</v>
      </c>
      <c r="AH881" s="304">
        <f t="shared" ca="1" si="405"/>
        <v>-7.559093627875761</v>
      </c>
    </row>
    <row r="882" spans="1:34" x14ac:dyDescent="0.2">
      <c r="A882" s="347">
        <f t="shared" ca="1" si="383"/>
        <v>1E-4</v>
      </c>
      <c r="B882" s="304">
        <f t="shared" ca="1" si="384"/>
        <v>37.714100000000691</v>
      </c>
      <c r="D882" s="306">
        <f t="shared" ca="1" si="385"/>
        <v>-0.42546858179368841</v>
      </c>
      <c r="E882" s="307">
        <f t="shared" ca="1" si="386"/>
        <v>-2.2628541543886413</v>
      </c>
      <c r="F882" s="304">
        <f t="shared" ca="1" si="387"/>
        <v>2.3025056868827631</v>
      </c>
      <c r="G882" s="306">
        <f t="shared" ca="1" si="388"/>
        <v>7.436340154640213</v>
      </c>
      <c r="H882" s="307">
        <f t="shared" ca="1" si="389"/>
        <v>-131.91000109272269</v>
      </c>
      <c r="I882" s="304">
        <f t="shared" ca="1" si="390"/>
        <v>132.1194442282347</v>
      </c>
      <c r="J882" s="306">
        <f t="shared" ca="1" si="391"/>
        <v>515.22511340180665</v>
      </c>
      <c r="K882" s="307">
        <f t="shared" ca="1" si="392"/>
        <v>-4.7673839595052785</v>
      </c>
      <c r="L882" s="304">
        <f t="shared" ca="1" si="377"/>
        <v>515.24716925930022</v>
      </c>
      <c r="M882" s="306">
        <f t="shared" ca="1" si="393"/>
        <v>-1.5144815868083976</v>
      </c>
      <c r="N882" s="304">
        <f t="shared" ca="1" si="394"/>
        <v>-86.773403074396995</v>
      </c>
      <c r="P882" s="310">
        <f t="shared" ca="1" si="395"/>
        <v>23</v>
      </c>
      <c r="Q882" s="304">
        <f t="shared" ca="1" si="396"/>
        <v>0</v>
      </c>
      <c r="R882" s="306">
        <f t="shared" ca="1" si="397"/>
        <v>0</v>
      </c>
      <c r="S882" s="307">
        <f t="shared" ca="1" si="398"/>
        <v>7.4819999999999904</v>
      </c>
      <c r="T882" s="304">
        <f t="shared" ca="1" si="378"/>
        <v>73.398419999999916</v>
      </c>
      <c r="U882" s="311">
        <f t="shared" ca="1" si="379"/>
        <v>0</v>
      </c>
      <c r="V882" s="306">
        <f t="shared" ca="1" si="380"/>
        <v>1.225584143776923</v>
      </c>
      <c r="W882" s="304">
        <f t="shared" ca="1" si="381"/>
        <v>56.557670493194863</v>
      </c>
      <c r="Y882" s="314" t="str">
        <f t="shared" ca="1" si="399"/>
        <v/>
      </c>
      <c r="Z882" s="315" t="str">
        <f t="shared" ca="1" si="400"/>
        <v/>
      </c>
      <c r="AA882" s="316" t="str">
        <f t="shared" ca="1" si="401"/>
        <v/>
      </c>
      <c r="AC882" s="310" t="e">
        <f t="shared" ca="1" si="402"/>
        <v>#N/A</v>
      </c>
      <c r="AD882" s="323" t="e">
        <f t="shared" ca="1" si="403"/>
        <v>#N/A</v>
      </c>
      <c r="AE882" s="324" t="e">
        <f t="shared" ca="1" si="382"/>
        <v>#N/A</v>
      </c>
      <c r="AG882" s="306">
        <f t="shared" ca="1" si="404"/>
        <v>2.2353192303818528</v>
      </c>
      <c r="AH882" s="304">
        <f t="shared" ca="1" si="405"/>
        <v>-7.5591291779557732</v>
      </c>
    </row>
    <row r="883" spans="1:34" x14ac:dyDescent="0.2">
      <c r="A883" s="347">
        <f t="shared" ca="1" si="383"/>
        <v>1E-4</v>
      </c>
      <c r="B883" s="304">
        <f t="shared" ca="1" si="384"/>
        <v>37.714200000000695</v>
      </c>
      <c r="D883" s="306">
        <f t="shared" ca="1" si="385"/>
        <v>-0.42546742857598885</v>
      </c>
      <c r="E883" s="307">
        <f t="shared" ca="1" si="386"/>
        <v>-2.2628184831141747</v>
      </c>
      <c r="F883" s="304">
        <f t="shared" ca="1" si="387"/>
        <v>2.302470416813688</v>
      </c>
      <c r="G883" s="306">
        <f t="shared" ca="1" si="388"/>
        <v>7.4362976078973553</v>
      </c>
      <c r="H883" s="307">
        <f t="shared" ca="1" si="389"/>
        <v>-131.91022737457101</v>
      </c>
      <c r="I883" s="304">
        <f t="shared" ca="1" si="390"/>
        <v>132.11966775663737</v>
      </c>
      <c r="J883" s="306">
        <f t="shared" ca="1" si="391"/>
        <v>515.22511340180665</v>
      </c>
      <c r="K883" s="307">
        <f t="shared" ca="1" si="392"/>
        <v>-4.7805749709286429</v>
      </c>
      <c r="L883" s="304">
        <f t="shared" ca="1" si="377"/>
        <v>515.24729147949643</v>
      </c>
      <c r="M883" s="306">
        <f t="shared" ca="1" si="393"/>
        <v>-1.5144820047292524</v>
      </c>
      <c r="N883" s="304">
        <f t="shared" ca="1" si="394"/>
        <v>-86.773427019498143</v>
      </c>
      <c r="P883" s="310">
        <f t="shared" ca="1" si="395"/>
        <v>23</v>
      </c>
      <c r="Q883" s="304">
        <f t="shared" ca="1" si="396"/>
        <v>0</v>
      </c>
      <c r="R883" s="306">
        <f t="shared" ca="1" si="397"/>
        <v>0</v>
      </c>
      <c r="S883" s="307">
        <f t="shared" ca="1" si="398"/>
        <v>7.4819999999999904</v>
      </c>
      <c r="T883" s="304">
        <f t="shared" ca="1" si="378"/>
        <v>73.398419999999916</v>
      </c>
      <c r="U883" s="311">
        <f t="shared" ca="1" si="379"/>
        <v>0</v>
      </c>
      <c r="V883" s="306">
        <f t="shared" ca="1" si="380"/>
        <v>1.2255857604475258</v>
      </c>
      <c r="W883" s="304">
        <f t="shared" ca="1" si="381"/>
        <v>56.557936474955945</v>
      </c>
      <c r="Y883" s="314" t="str">
        <f t="shared" ca="1" si="399"/>
        <v/>
      </c>
      <c r="Z883" s="315" t="str">
        <f t="shared" ca="1" si="400"/>
        <v/>
      </c>
      <c r="AA883" s="316" t="str">
        <f t="shared" ca="1" si="401"/>
        <v/>
      </c>
      <c r="AC883" s="310" t="e">
        <f t="shared" ca="1" si="402"/>
        <v>#N/A</v>
      </c>
      <c r="AD883" s="323" t="e">
        <f t="shared" ca="1" si="403"/>
        <v>#N/A</v>
      </c>
      <c r="AE883" s="324" t="e">
        <f t="shared" ca="1" si="382"/>
        <v>#N/A</v>
      </c>
      <c r="AG883" s="306">
        <f t="shared" ca="1" si="404"/>
        <v>2.2352839113252978</v>
      </c>
      <c r="AH883" s="304">
        <f t="shared" ca="1" si="405"/>
        <v>-7.5591647277726457</v>
      </c>
    </row>
    <row r="884" spans="1:34" x14ac:dyDescent="0.2">
      <c r="A884" s="347">
        <f t="shared" ca="1" si="383"/>
        <v>1E-4</v>
      </c>
      <c r="B884" s="304">
        <f t="shared" ca="1" si="384"/>
        <v>37.714300000000698</v>
      </c>
      <c r="D884" s="306">
        <f t="shared" ca="1" si="385"/>
        <v>-0.42546627534245601</v>
      </c>
      <c r="E884" s="307">
        <f t="shared" ca="1" si="386"/>
        <v>-2.2627828121036879</v>
      </c>
      <c r="F884" s="304">
        <f t="shared" ca="1" si="387"/>
        <v>2.30243514701406</v>
      </c>
      <c r="G884" s="306">
        <f t="shared" ca="1" si="388"/>
        <v>7.4362550612698213</v>
      </c>
      <c r="H884" s="307">
        <f t="shared" ca="1" si="389"/>
        <v>-131.91045365285223</v>
      </c>
      <c r="I884" s="304">
        <f t="shared" ca="1" si="390"/>
        <v>132.11989128150816</v>
      </c>
      <c r="J884" s="306">
        <f t="shared" ca="1" si="391"/>
        <v>515.22511340180665</v>
      </c>
      <c r="K884" s="307">
        <f t="shared" ca="1" si="392"/>
        <v>-4.7937660049800144</v>
      </c>
      <c r="L884" s="304">
        <f t="shared" ca="1" si="377"/>
        <v>515.24741403758162</v>
      </c>
      <c r="M884" s="306">
        <f t="shared" ca="1" si="393"/>
        <v>-1.5144824226463021</v>
      </c>
      <c r="N884" s="304">
        <f t="shared" ca="1" si="394"/>
        <v>-86.773450964381283</v>
      </c>
      <c r="P884" s="310">
        <f t="shared" ca="1" si="395"/>
        <v>23</v>
      </c>
      <c r="Q884" s="304">
        <f t="shared" ca="1" si="396"/>
        <v>0</v>
      </c>
      <c r="R884" s="306">
        <f t="shared" ca="1" si="397"/>
        <v>0</v>
      </c>
      <c r="S884" s="307">
        <f t="shared" ca="1" si="398"/>
        <v>7.4819999999999904</v>
      </c>
      <c r="T884" s="304">
        <f t="shared" ca="1" si="378"/>
        <v>73.398419999999916</v>
      </c>
      <c r="U884" s="311">
        <f t="shared" ca="1" si="379"/>
        <v>0</v>
      </c>
      <c r="V884" s="306">
        <f t="shared" ca="1" si="380"/>
        <v>1.2255873771230343</v>
      </c>
      <c r="W884" s="304">
        <f t="shared" ca="1" si="381"/>
        <v>56.558202454748233</v>
      </c>
      <c r="Y884" s="314" t="str">
        <f t="shared" ca="1" si="399"/>
        <v/>
      </c>
      <c r="Z884" s="315" t="str">
        <f t="shared" ca="1" si="400"/>
        <v/>
      </c>
      <c r="AA884" s="316" t="str">
        <f t="shared" ca="1" si="401"/>
        <v/>
      </c>
      <c r="AC884" s="310" t="e">
        <f t="shared" ca="1" si="402"/>
        <v>#N/A</v>
      </c>
      <c r="AD884" s="323" t="e">
        <f t="shared" ca="1" si="403"/>
        <v>#N/A</v>
      </c>
      <c r="AE884" s="324" t="e">
        <f t="shared" ca="1" si="382"/>
        <v>#N/A</v>
      </c>
      <c r="AG884" s="306">
        <f t="shared" ca="1" si="404"/>
        <v>2.2352485925280599</v>
      </c>
      <c r="AH884" s="304">
        <f t="shared" ca="1" si="405"/>
        <v>-7.5592002773263856</v>
      </c>
    </row>
    <row r="885" spans="1:34" x14ac:dyDescent="0.2">
      <c r="A885" s="347">
        <f t="shared" ca="1" si="383"/>
        <v>1E-4</v>
      </c>
      <c r="B885" s="304">
        <f t="shared" ca="1" si="384"/>
        <v>37.714400000000701</v>
      </c>
      <c r="D885" s="306">
        <f t="shared" ca="1" si="385"/>
        <v>-0.42546512209309034</v>
      </c>
      <c r="E885" s="307">
        <f t="shared" ca="1" si="386"/>
        <v>-2.2627471413571865</v>
      </c>
      <c r="F885" s="304">
        <f t="shared" ca="1" si="387"/>
        <v>2.302399877483885</v>
      </c>
      <c r="G885" s="306">
        <f t="shared" ca="1" si="388"/>
        <v>7.4362125147576119</v>
      </c>
      <c r="H885" s="307">
        <f t="shared" ca="1" si="389"/>
        <v>-131.91067992756635</v>
      </c>
      <c r="I885" s="304">
        <f t="shared" ca="1" si="390"/>
        <v>132.1201148028471</v>
      </c>
      <c r="J885" s="306">
        <f t="shared" ca="1" si="391"/>
        <v>515.22511340180665</v>
      </c>
      <c r="K885" s="307">
        <f t="shared" ca="1" si="392"/>
        <v>-4.8069570616590349</v>
      </c>
      <c r="L885" s="304">
        <f t="shared" ca="1" si="377"/>
        <v>515.24753693355706</v>
      </c>
      <c r="M885" s="306">
        <f t="shared" ca="1" si="393"/>
        <v>-1.5144828405595463</v>
      </c>
      <c r="N885" s="304">
        <f t="shared" ca="1" si="394"/>
        <v>-86.773474909046371</v>
      </c>
      <c r="P885" s="310">
        <f t="shared" ca="1" si="395"/>
        <v>23</v>
      </c>
      <c r="Q885" s="304">
        <f t="shared" ca="1" si="396"/>
        <v>0</v>
      </c>
      <c r="R885" s="306">
        <f t="shared" ca="1" si="397"/>
        <v>0</v>
      </c>
      <c r="S885" s="307">
        <f t="shared" ca="1" si="398"/>
        <v>7.4819999999999904</v>
      </c>
      <c r="T885" s="304">
        <f t="shared" ca="1" si="378"/>
        <v>73.398419999999916</v>
      </c>
      <c r="U885" s="311">
        <f t="shared" ca="1" si="379"/>
        <v>0</v>
      </c>
      <c r="V885" s="306">
        <f t="shared" ca="1" si="380"/>
        <v>1.2255889938034497</v>
      </c>
      <c r="W885" s="304">
        <f t="shared" ca="1" si="381"/>
        <v>56.558468432571743</v>
      </c>
      <c r="Y885" s="314" t="str">
        <f t="shared" ca="1" si="399"/>
        <v/>
      </c>
      <c r="Z885" s="315" t="str">
        <f t="shared" ca="1" si="400"/>
        <v/>
      </c>
      <c r="AA885" s="316" t="str">
        <f t="shared" ca="1" si="401"/>
        <v/>
      </c>
      <c r="AC885" s="310" t="e">
        <f t="shared" ca="1" si="402"/>
        <v>#N/A</v>
      </c>
      <c r="AD885" s="323" t="e">
        <f t="shared" ca="1" si="403"/>
        <v>#N/A</v>
      </c>
      <c r="AE885" s="324" t="e">
        <f t="shared" ca="1" si="382"/>
        <v>#N/A</v>
      </c>
      <c r="AG885" s="306">
        <f t="shared" ca="1" si="404"/>
        <v>2.2352132739901505</v>
      </c>
      <c r="AH885" s="304">
        <f t="shared" ca="1" si="405"/>
        <v>-7.5592358266169883</v>
      </c>
    </row>
    <row r="886" spans="1:34" x14ac:dyDescent="0.2">
      <c r="A886" s="347">
        <f t="shared" ca="1" si="383"/>
        <v>1E-4</v>
      </c>
      <c r="B886" s="304">
        <f t="shared" ca="1" si="384"/>
        <v>37.714500000000704</v>
      </c>
      <c r="D886" s="306">
        <f t="shared" ca="1" si="385"/>
        <v>-0.42546396882789433</v>
      </c>
      <c r="E886" s="307">
        <f t="shared" ca="1" si="386"/>
        <v>-2.2627114708746667</v>
      </c>
      <c r="F886" s="304">
        <f t="shared" ca="1" si="387"/>
        <v>2.3023646082231592</v>
      </c>
      <c r="G886" s="306">
        <f t="shared" ca="1" si="388"/>
        <v>7.436169968360729</v>
      </c>
      <c r="H886" s="307">
        <f t="shared" ca="1" si="389"/>
        <v>-131.91090619871343</v>
      </c>
      <c r="I886" s="304">
        <f t="shared" ca="1" si="390"/>
        <v>132.12033832065418</v>
      </c>
      <c r="J886" s="306">
        <f t="shared" ca="1" si="391"/>
        <v>515.22511340180665</v>
      </c>
      <c r="K886" s="307">
        <f t="shared" ca="1" si="392"/>
        <v>-4.8201481409653493</v>
      </c>
      <c r="L886" s="304">
        <f t="shared" ca="1" si="377"/>
        <v>515.2476601674241</v>
      </c>
      <c r="M886" s="306">
        <f t="shared" ca="1" si="393"/>
        <v>-1.5144832584689856</v>
      </c>
      <c r="N886" s="304">
        <f t="shared" ca="1" si="394"/>
        <v>-86.773498853493464</v>
      </c>
      <c r="P886" s="310">
        <f t="shared" ca="1" si="395"/>
        <v>23</v>
      </c>
      <c r="Q886" s="304">
        <f t="shared" ca="1" si="396"/>
        <v>0</v>
      </c>
      <c r="R886" s="306">
        <f t="shared" ca="1" si="397"/>
        <v>0</v>
      </c>
      <c r="S886" s="307">
        <f t="shared" ca="1" si="398"/>
        <v>7.4819999999999904</v>
      </c>
      <c r="T886" s="304">
        <f t="shared" ca="1" si="378"/>
        <v>73.398419999999916</v>
      </c>
      <c r="U886" s="311">
        <f t="shared" ca="1" si="379"/>
        <v>0</v>
      </c>
      <c r="V886" s="306">
        <f t="shared" ca="1" si="380"/>
        <v>1.225590610488771</v>
      </c>
      <c r="W886" s="304">
        <f t="shared" ca="1" si="381"/>
        <v>56.558734408426439</v>
      </c>
      <c r="Y886" s="314" t="str">
        <f t="shared" ca="1" si="399"/>
        <v/>
      </c>
      <c r="Z886" s="315" t="str">
        <f t="shared" ca="1" si="400"/>
        <v/>
      </c>
      <c r="AA886" s="316" t="str">
        <f t="shared" ca="1" si="401"/>
        <v/>
      </c>
      <c r="AC886" s="310" t="e">
        <f t="shared" ca="1" si="402"/>
        <v>#N/A</v>
      </c>
      <c r="AD886" s="323" t="e">
        <f t="shared" ca="1" si="403"/>
        <v>#N/A</v>
      </c>
      <c r="AE886" s="324" t="e">
        <f t="shared" ca="1" si="382"/>
        <v>#N/A</v>
      </c>
      <c r="AG886" s="306">
        <f t="shared" ca="1" si="404"/>
        <v>2.2351779557115625</v>
      </c>
      <c r="AH886" s="304">
        <f t="shared" ca="1" si="405"/>
        <v>-7.5592713756444558</v>
      </c>
    </row>
    <row r="887" spans="1:34" x14ac:dyDescent="0.2">
      <c r="A887" s="347">
        <f t="shared" ca="1" si="383"/>
        <v>1E-4</v>
      </c>
      <c r="B887" s="304">
        <f t="shared" ca="1" si="384"/>
        <v>37.714600000000708</v>
      </c>
      <c r="D887" s="306">
        <f t="shared" ca="1" si="385"/>
        <v>-0.42546281554686521</v>
      </c>
      <c r="E887" s="307">
        <f t="shared" ca="1" si="386"/>
        <v>-2.2626758006561367</v>
      </c>
      <c r="F887" s="304">
        <f t="shared" ca="1" si="387"/>
        <v>2.3023293392318909</v>
      </c>
      <c r="G887" s="306">
        <f t="shared" ca="1" si="388"/>
        <v>7.4361274220791742</v>
      </c>
      <c r="H887" s="307">
        <f t="shared" ca="1" si="389"/>
        <v>-131.91113246629351</v>
      </c>
      <c r="I887" s="304">
        <f t="shared" ca="1" si="390"/>
        <v>132.1205618349295</v>
      </c>
      <c r="J887" s="306">
        <f t="shared" ca="1" si="391"/>
        <v>515.22511340180665</v>
      </c>
      <c r="K887" s="307">
        <f t="shared" ca="1" si="392"/>
        <v>-4.8333392428985995</v>
      </c>
      <c r="L887" s="304">
        <f t="shared" ca="1" si="377"/>
        <v>515.24778373918457</v>
      </c>
      <c r="M887" s="306">
        <f t="shared" ca="1" si="393"/>
        <v>-1.5144836763746197</v>
      </c>
      <c r="N887" s="304">
        <f t="shared" ca="1" si="394"/>
        <v>-86.773522797722535</v>
      </c>
      <c r="P887" s="310">
        <f t="shared" ca="1" si="395"/>
        <v>23</v>
      </c>
      <c r="Q887" s="304">
        <f t="shared" ca="1" si="396"/>
        <v>0</v>
      </c>
      <c r="R887" s="306">
        <f t="shared" ca="1" si="397"/>
        <v>0</v>
      </c>
      <c r="S887" s="307">
        <f t="shared" ca="1" si="398"/>
        <v>7.4819999999999904</v>
      </c>
      <c r="T887" s="304">
        <f t="shared" ca="1" si="378"/>
        <v>73.398419999999916</v>
      </c>
      <c r="U887" s="311">
        <f t="shared" ca="1" si="379"/>
        <v>0</v>
      </c>
      <c r="V887" s="306">
        <f t="shared" ca="1" si="380"/>
        <v>1.2255922271789983</v>
      </c>
      <c r="W887" s="304">
        <f t="shared" ca="1" si="381"/>
        <v>56.559000382312355</v>
      </c>
      <c r="Y887" s="314" t="str">
        <f t="shared" ca="1" si="399"/>
        <v/>
      </c>
      <c r="Z887" s="315" t="str">
        <f t="shared" ca="1" si="400"/>
        <v/>
      </c>
      <c r="AA887" s="316" t="str">
        <f t="shared" ca="1" si="401"/>
        <v/>
      </c>
      <c r="AC887" s="310" t="e">
        <f t="shared" ca="1" si="402"/>
        <v>#N/A</v>
      </c>
      <c r="AD887" s="323" t="e">
        <f t="shared" ca="1" si="403"/>
        <v>#N/A</v>
      </c>
      <c r="AE887" s="324" t="e">
        <f t="shared" ca="1" si="382"/>
        <v>#N/A</v>
      </c>
      <c r="AG887" s="306">
        <f t="shared" ca="1" si="404"/>
        <v>2.2351426376923031</v>
      </c>
      <c r="AH887" s="304">
        <f t="shared" ca="1" si="405"/>
        <v>-7.5593069244087827</v>
      </c>
    </row>
    <row r="888" spans="1:34" x14ac:dyDescent="0.2">
      <c r="A888" s="347">
        <f t="shared" ca="1" si="383"/>
        <v>1E-4</v>
      </c>
      <c r="B888" s="304">
        <f t="shared" ca="1" si="384"/>
        <v>37.714700000000711</v>
      </c>
      <c r="D888" s="306">
        <f t="shared" ca="1" si="385"/>
        <v>-0.42546166225000553</v>
      </c>
      <c r="E888" s="307">
        <f t="shared" ca="1" si="386"/>
        <v>-2.2626401307015884</v>
      </c>
      <c r="F888" s="304">
        <f t="shared" ca="1" si="387"/>
        <v>2.3022940705100727</v>
      </c>
      <c r="G888" s="306">
        <f t="shared" ca="1" si="388"/>
        <v>7.4360848759129494</v>
      </c>
      <c r="H888" s="307">
        <f t="shared" ca="1" si="389"/>
        <v>-131.91135873030657</v>
      </c>
      <c r="I888" s="304">
        <f t="shared" ca="1" si="390"/>
        <v>132.12078534567303</v>
      </c>
      <c r="J888" s="306">
        <f t="shared" ca="1" si="391"/>
        <v>515.22511340180665</v>
      </c>
      <c r="K888" s="307">
        <f t="shared" ca="1" si="392"/>
        <v>-4.8465303674584295</v>
      </c>
      <c r="L888" s="304">
        <f t="shared" ca="1" si="377"/>
        <v>515.24790764883971</v>
      </c>
      <c r="M888" s="306">
        <f t="shared" ca="1" si="393"/>
        <v>-1.5144840942764488</v>
      </c>
      <c r="N888" s="304">
        <f t="shared" ca="1" si="394"/>
        <v>-86.773546741733597</v>
      </c>
      <c r="P888" s="310">
        <f t="shared" ca="1" si="395"/>
        <v>23</v>
      </c>
      <c r="Q888" s="304">
        <f t="shared" ca="1" si="396"/>
        <v>0</v>
      </c>
      <c r="R888" s="306">
        <f t="shared" ca="1" si="397"/>
        <v>0</v>
      </c>
      <c r="S888" s="307">
        <f t="shared" ca="1" si="398"/>
        <v>7.4819999999999904</v>
      </c>
      <c r="T888" s="304">
        <f t="shared" ca="1" si="378"/>
        <v>73.398419999999916</v>
      </c>
      <c r="U888" s="311">
        <f t="shared" ca="1" si="379"/>
        <v>0</v>
      </c>
      <c r="V888" s="306">
        <f t="shared" ca="1" si="380"/>
        <v>1.2255938438741325</v>
      </c>
      <c r="W888" s="304">
        <f t="shared" ca="1" si="381"/>
        <v>56.5592663542295</v>
      </c>
      <c r="Y888" s="314" t="str">
        <f t="shared" ca="1" si="399"/>
        <v/>
      </c>
      <c r="Z888" s="315" t="str">
        <f t="shared" ca="1" si="400"/>
        <v/>
      </c>
      <c r="AA888" s="316" t="str">
        <f t="shared" ca="1" si="401"/>
        <v/>
      </c>
      <c r="AC888" s="310" t="e">
        <f t="shared" ca="1" si="402"/>
        <v>#N/A</v>
      </c>
      <c r="AD888" s="323" t="e">
        <f t="shared" ca="1" si="403"/>
        <v>#N/A</v>
      </c>
      <c r="AE888" s="324" t="e">
        <f t="shared" ca="1" si="382"/>
        <v>#N/A</v>
      </c>
      <c r="AG888" s="306">
        <f t="shared" ca="1" si="404"/>
        <v>2.2351073199323706</v>
      </c>
      <c r="AH888" s="304">
        <f t="shared" ca="1" si="405"/>
        <v>-7.5593424729099743</v>
      </c>
    </row>
    <row r="889" spans="1:34" x14ac:dyDescent="0.2">
      <c r="A889" s="347">
        <f t="shared" ca="1" si="383"/>
        <v>1E-4</v>
      </c>
      <c r="B889" s="304">
        <f t="shared" ca="1" si="384"/>
        <v>37.714800000000714</v>
      </c>
      <c r="D889" s="306">
        <f t="shared" ca="1" si="385"/>
        <v>-0.42546050893731446</v>
      </c>
      <c r="E889" s="307">
        <f t="shared" ca="1" si="386"/>
        <v>-2.2626044610110227</v>
      </c>
      <c r="F889" s="304">
        <f t="shared" ca="1" si="387"/>
        <v>2.3022588020577053</v>
      </c>
      <c r="G889" s="306">
        <f t="shared" ca="1" si="388"/>
        <v>7.4360423298620555</v>
      </c>
      <c r="H889" s="307">
        <f t="shared" ca="1" si="389"/>
        <v>-131.91158499075269</v>
      </c>
      <c r="I889" s="304">
        <f t="shared" ca="1" si="390"/>
        <v>132.12100885288481</v>
      </c>
      <c r="J889" s="306">
        <f t="shared" ca="1" si="391"/>
        <v>515.22511340180665</v>
      </c>
      <c r="K889" s="307">
        <f t="shared" ca="1" si="392"/>
        <v>-4.8597215146444821</v>
      </c>
      <c r="L889" s="304">
        <f t="shared" ca="1" si="377"/>
        <v>515.24803189639113</v>
      </c>
      <c r="M889" s="306">
        <f t="shared" ca="1" si="393"/>
        <v>-1.514484512174473</v>
      </c>
      <c r="N889" s="304">
        <f t="shared" ca="1" si="394"/>
        <v>-86.77357068552665</v>
      </c>
      <c r="P889" s="310">
        <f t="shared" ca="1" si="395"/>
        <v>23</v>
      </c>
      <c r="Q889" s="304">
        <f t="shared" ca="1" si="396"/>
        <v>0</v>
      </c>
      <c r="R889" s="306">
        <f t="shared" ca="1" si="397"/>
        <v>0</v>
      </c>
      <c r="S889" s="307">
        <f t="shared" ca="1" si="398"/>
        <v>7.4819999999999904</v>
      </c>
      <c r="T889" s="304">
        <f t="shared" ca="1" si="378"/>
        <v>73.398419999999916</v>
      </c>
      <c r="U889" s="311">
        <f t="shared" ca="1" si="379"/>
        <v>0</v>
      </c>
      <c r="V889" s="306">
        <f t="shared" ca="1" si="380"/>
        <v>1.2255954605741721</v>
      </c>
      <c r="W889" s="304">
        <f t="shared" ca="1" si="381"/>
        <v>56.559532324177816</v>
      </c>
      <c r="Y889" s="314" t="str">
        <f t="shared" ca="1" si="399"/>
        <v/>
      </c>
      <c r="Z889" s="315" t="str">
        <f t="shared" ca="1" si="400"/>
        <v/>
      </c>
      <c r="AA889" s="316" t="str">
        <f t="shared" ca="1" si="401"/>
        <v/>
      </c>
      <c r="AC889" s="310" t="e">
        <f t="shared" ca="1" si="402"/>
        <v>#N/A</v>
      </c>
      <c r="AD889" s="323" t="e">
        <f t="shared" ca="1" si="403"/>
        <v>#N/A</v>
      </c>
      <c r="AE889" s="324" t="e">
        <f t="shared" ca="1" si="382"/>
        <v>#N/A</v>
      </c>
      <c r="AG889" s="306">
        <f t="shared" ca="1" si="404"/>
        <v>2.2350720024317585</v>
      </c>
      <c r="AH889" s="304">
        <f t="shared" ca="1" si="405"/>
        <v>-7.5593780211480315</v>
      </c>
    </row>
    <row r="890" spans="1:34" x14ac:dyDescent="0.2">
      <c r="A890" s="347">
        <f t="shared" ca="1" si="383"/>
        <v>1E-4</v>
      </c>
      <c r="B890" s="304">
        <f t="shared" ca="1" si="384"/>
        <v>37.714900000000718</v>
      </c>
      <c r="D890" s="306">
        <f t="shared" ca="1" si="385"/>
        <v>-0.42545935560879233</v>
      </c>
      <c r="E890" s="307">
        <f t="shared" ca="1" si="386"/>
        <v>-2.262568791584445</v>
      </c>
      <c r="F890" s="304">
        <f t="shared" ca="1" si="387"/>
        <v>2.3022235338747938</v>
      </c>
      <c r="G890" s="306">
        <f t="shared" ca="1" si="388"/>
        <v>7.4359997839264942</v>
      </c>
      <c r="H890" s="307">
        <f t="shared" ca="1" si="389"/>
        <v>-131.91181124763185</v>
      </c>
      <c r="I890" s="304">
        <f t="shared" ca="1" si="390"/>
        <v>132.12123235656489</v>
      </c>
      <c r="J890" s="306">
        <f t="shared" ca="1" si="391"/>
        <v>515.22511340180665</v>
      </c>
      <c r="K890" s="307">
        <f t="shared" ca="1" si="392"/>
        <v>-4.8729126844564012</v>
      </c>
      <c r="L890" s="304">
        <f t="shared" ca="1" si="377"/>
        <v>515.24815648184017</v>
      </c>
      <c r="M890" s="306">
        <f t="shared" ca="1" si="393"/>
        <v>-1.5144849300686924</v>
      </c>
      <c r="N890" s="304">
        <f t="shared" ca="1" si="394"/>
        <v>-86.773594629101709</v>
      </c>
      <c r="P890" s="310">
        <f t="shared" ca="1" si="395"/>
        <v>23</v>
      </c>
      <c r="Q890" s="304">
        <f t="shared" ca="1" si="396"/>
        <v>0</v>
      </c>
      <c r="R890" s="306">
        <f t="shared" ca="1" si="397"/>
        <v>0</v>
      </c>
      <c r="S890" s="307">
        <f t="shared" ca="1" si="398"/>
        <v>7.4819999999999904</v>
      </c>
      <c r="T890" s="304">
        <f t="shared" ca="1" si="378"/>
        <v>73.398419999999916</v>
      </c>
      <c r="U890" s="311">
        <f t="shared" ca="1" si="379"/>
        <v>0</v>
      </c>
      <c r="V890" s="306">
        <f t="shared" ca="1" si="380"/>
        <v>1.2255970772791183</v>
      </c>
      <c r="W890" s="304">
        <f t="shared" ca="1" si="381"/>
        <v>56.559798292157382</v>
      </c>
      <c r="Y890" s="314" t="str">
        <f t="shared" ca="1" si="399"/>
        <v/>
      </c>
      <c r="Z890" s="315" t="str">
        <f t="shared" ca="1" si="400"/>
        <v/>
      </c>
      <c r="AA890" s="316" t="str">
        <f t="shared" ca="1" si="401"/>
        <v/>
      </c>
      <c r="AC890" s="310" t="e">
        <f t="shared" ca="1" si="402"/>
        <v>#N/A</v>
      </c>
      <c r="AD890" s="323" t="e">
        <f t="shared" ca="1" si="403"/>
        <v>#N/A</v>
      </c>
      <c r="AE890" s="324" t="e">
        <f t="shared" ca="1" si="382"/>
        <v>#N/A</v>
      </c>
      <c r="AG890" s="306">
        <f t="shared" ca="1" si="404"/>
        <v>2.2350366851904777</v>
      </c>
      <c r="AH890" s="304">
        <f t="shared" ca="1" si="405"/>
        <v>-7.5594135691229472</v>
      </c>
    </row>
    <row r="891" spans="1:34" x14ac:dyDescent="0.2">
      <c r="A891" s="347">
        <f t="shared" ca="1" si="383"/>
        <v>1E-4</v>
      </c>
      <c r="B891" s="304">
        <f t="shared" ca="1" si="384"/>
        <v>37.715000000000721</v>
      </c>
      <c r="D891" s="306">
        <f t="shared" ca="1" si="385"/>
        <v>-0.4254582022644387</v>
      </c>
      <c r="E891" s="307">
        <f t="shared" ca="1" si="386"/>
        <v>-2.262533122421849</v>
      </c>
      <c r="F891" s="304">
        <f t="shared" ca="1" si="387"/>
        <v>2.3021882659613331</v>
      </c>
      <c r="G891" s="306">
        <f t="shared" ca="1" si="388"/>
        <v>7.4359572381062682</v>
      </c>
      <c r="H891" s="307">
        <f t="shared" ca="1" si="389"/>
        <v>-131.91203750094408</v>
      </c>
      <c r="I891" s="304">
        <f t="shared" ca="1" si="390"/>
        <v>132.12145585671323</v>
      </c>
      <c r="J891" s="306">
        <f t="shared" ca="1" si="391"/>
        <v>515.22511340180665</v>
      </c>
      <c r="K891" s="307">
        <f t="shared" ca="1" si="392"/>
        <v>-4.8861038768938299</v>
      </c>
      <c r="L891" s="304">
        <f t="shared" ca="1" si="377"/>
        <v>515.24828140518855</v>
      </c>
      <c r="M891" s="306">
        <f t="shared" ca="1" si="393"/>
        <v>-1.5144853479591067</v>
      </c>
      <c r="N891" s="304">
        <f t="shared" ca="1" si="394"/>
        <v>-86.773618572458744</v>
      </c>
      <c r="P891" s="310">
        <f t="shared" ca="1" si="395"/>
        <v>23</v>
      </c>
      <c r="Q891" s="304">
        <f t="shared" ca="1" si="396"/>
        <v>0</v>
      </c>
      <c r="R891" s="306">
        <f t="shared" ca="1" si="397"/>
        <v>0</v>
      </c>
      <c r="S891" s="307">
        <f t="shared" ca="1" si="398"/>
        <v>7.4819999999999904</v>
      </c>
      <c r="T891" s="304">
        <f t="shared" ca="1" si="378"/>
        <v>73.398419999999916</v>
      </c>
      <c r="U891" s="311">
        <f t="shared" ca="1" si="379"/>
        <v>0</v>
      </c>
      <c r="V891" s="306">
        <f t="shared" ca="1" si="380"/>
        <v>1.2255986939889709</v>
      </c>
      <c r="W891" s="304">
        <f t="shared" ca="1" si="381"/>
        <v>56.560064258168097</v>
      </c>
      <c r="Y891" s="314" t="str">
        <f t="shared" ca="1" si="399"/>
        <v/>
      </c>
      <c r="Z891" s="315" t="str">
        <f t="shared" ca="1" si="400"/>
        <v/>
      </c>
      <c r="AA891" s="316" t="str">
        <f t="shared" ca="1" si="401"/>
        <v/>
      </c>
      <c r="AC891" s="310" t="e">
        <f t="shared" ca="1" si="402"/>
        <v>#N/A</v>
      </c>
      <c r="AD891" s="323" t="e">
        <f t="shared" ca="1" si="403"/>
        <v>#N/A</v>
      </c>
      <c r="AE891" s="324" t="e">
        <f t="shared" ca="1" si="382"/>
        <v>#N/A</v>
      </c>
      <c r="AG891" s="306">
        <f t="shared" ca="1" si="404"/>
        <v>2.2350013682085175</v>
      </c>
      <c r="AH891" s="304">
        <f t="shared" ca="1" si="405"/>
        <v>-7.5594491168347302</v>
      </c>
    </row>
    <row r="892" spans="1:34" x14ac:dyDescent="0.2">
      <c r="A892" s="347">
        <f t="shared" ca="1" si="383"/>
        <v>1E-4</v>
      </c>
      <c r="B892" s="304">
        <f t="shared" ca="1" si="384"/>
        <v>37.715100000000724</v>
      </c>
      <c r="D892" s="306">
        <f t="shared" ca="1" si="385"/>
        <v>-0.42545704890425706</v>
      </c>
      <c r="E892" s="307">
        <f t="shared" ca="1" si="386"/>
        <v>-2.2624974535232445</v>
      </c>
      <c r="F892" s="304">
        <f t="shared" ca="1" si="387"/>
        <v>2.3021529983173328</v>
      </c>
      <c r="G892" s="306">
        <f t="shared" ca="1" si="388"/>
        <v>7.4359146924013775</v>
      </c>
      <c r="H892" s="307">
        <f t="shared" ca="1" si="389"/>
        <v>-131.91226375068942</v>
      </c>
      <c r="I892" s="304">
        <f t="shared" ca="1" si="390"/>
        <v>132.12167935332988</v>
      </c>
      <c r="J892" s="306">
        <f t="shared" ca="1" si="391"/>
        <v>515.22511340180665</v>
      </c>
      <c r="K892" s="307">
        <f t="shared" ca="1" si="392"/>
        <v>-4.8992950919564118</v>
      </c>
      <c r="L892" s="304">
        <f t="shared" ca="1" si="377"/>
        <v>515.24840666643752</v>
      </c>
      <c r="M892" s="306">
        <f t="shared" ca="1" si="393"/>
        <v>-1.5144857658457163</v>
      </c>
      <c r="N892" s="304">
        <f t="shared" ca="1" si="394"/>
        <v>-86.773642515597786</v>
      </c>
      <c r="P892" s="310">
        <f t="shared" ca="1" si="395"/>
        <v>23</v>
      </c>
      <c r="Q892" s="304">
        <f t="shared" ca="1" si="396"/>
        <v>0</v>
      </c>
      <c r="R892" s="306">
        <f t="shared" ca="1" si="397"/>
        <v>0</v>
      </c>
      <c r="S892" s="307">
        <f t="shared" ca="1" si="398"/>
        <v>7.4819999999999904</v>
      </c>
      <c r="T892" s="304">
        <f t="shared" ca="1" si="378"/>
        <v>73.398419999999916</v>
      </c>
      <c r="U892" s="311">
        <f t="shared" ca="1" si="379"/>
        <v>0</v>
      </c>
      <c r="V892" s="306">
        <f t="shared" ca="1" si="380"/>
        <v>1.225600310703729</v>
      </c>
      <c r="W892" s="304">
        <f t="shared" ca="1" si="381"/>
        <v>56.560330222209991</v>
      </c>
      <c r="Y892" s="314" t="str">
        <f t="shared" ca="1" si="399"/>
        <v/>
      </c>
      <c r="Z892" s="315" t="str">
        <f t="shared" ca="1" si="400"/>
        <v/>
      </c>
      <c r="AA892" s="316" t="str">
        <f t="shared" ca="1" si="401"/>
        <v/>
      </c>
      <c r="AC892" s="310" t="e">
        <f t="shared" ca="1" si="402"/>
        <v>#N/A</v>
      </c>
      <c r="AD892" s="323" t="e">
        <f t="shared" ca="1" si="403"/>
        <v>#N/A</v>
      </c>
      <c r="AE892" s="324" t="e">
        <f t="shared" ca="1" si="382"/>
        <v>#N/A</v>
      </c>
      <c r="AG892" s="306">
        <f t="shared" ca="1" si="404"/>
        <v>2.2349660514858911</v>
      </c>
      <c r="AH892" s="304">
        <f t="shared" ca="1" si="405"/>
        <v>-7.5594846642833691</v>
      </c>
    </row>
    <row r="893" spans="1:34" x14ac:dyDescent="0.2">
      <c r="A893" s="347">
        <f t="shared" ca="1" si="383"/>
        <v>1E-4</v>
      </c>
      <c r="B893" s="304">
        <f t="shared" ca="1" si="384"/>
        <v>37.715200000000728</v>
      </c>
      <c r="D893" s="306">
        <f t="shared" ca="1" si="385"/>
        <v>-0.42545589552824492</v>
      </c>
      <c r="E893" s="307">
        <f t="shared" ca="1" si="386"/>
        <v>-2.2624617848886279</v>
      </c>
      <c r="F893" s="304">
        <f t="shared" ca="1" si="387"/>
        <v>2.3021177309427894</v>
      </c>
      <c r="G893" s="306">
        <f t="shared" ca="1" si="388"/>
        <v>7.4358721468118247</v>
      </c>
      <c r="H893" s="307">
        <f t="shared" ca="1" si="389"/>
        <v>-131.91248999686792</v>
      </c>
      <c r="I893" s="304">
        <f t="shared" ca="1" si="390"/>
        <v>132.12190284641497</v>
      </c>
      <c r="J893" s="306">
        <f t="shared" ca="1" si="391"/>
        <v>515.22511340180665</v>
      </c>
      <c r="K893" s="307">
        <f t="shared" ca="1" si="392"/>
        <v>-4.91248632964379</v>
      </c>
      <c r="L893" s="304">
        <f t="shared" ca="1" si="377"/>
        <v>515.24853226558878</v>
      </c>
      <c r="M893" s="306">
        <f t="shared" ca="1" si="393"/>
        <v>-1.5144861837285213</v>
      </c>
      <c r="N893" s="304">
        <f t="shared" ca="1" si="394"/>
        <v>-86.773666458518846</v>
      </c>
      <c r="P893" s="310">
        <f t="shared" ca="1" si="395"/>
        <v>23</v>
      </c>
      <c r="Q893" s="304">
        <f t="shared" ca="1" si="396"/>
        <v>0</v>
      </c>
      <c r="R893" s="306">
        <f t="shared" ca="1" si="397"/>
        <v>0</v>
      </c>
      <c r="S893" s="307">
        <f t="shared" ca="1" si="398"/>
        <v>7.4819999999999904</v>
      </c>
      <c r="T893" s="304">
        <f t="shared" ca="1" si="378"/>
        <v>73.398419999999916</v>
      </c>
      <c r="U893" s="311">
        <f t="shared" ca="1" si="379"/>
        <v>0</v>
      </c>
      <c r="V893" s="306">
        <f t="shared" ca="1" si="380"/>
        <v>1.2256019274233931</v>
      </c>
      <c r="W893" s="304">
        <f t="shared" ca="1" si="381"/>
        <v>56.560596184283142</v>
      </c>
      <c r="Y893" s="314" t="str">
        <f t="shared" ca="1" si="399"/>
        <v/>
      </c>
      <c r="Z893" s="315" t="str">
        <f t="shared" ca="1" si="400"/>
        <v/>
      </c>
      <c r="AA893" s="316" t="str">
        <f t="shared" ca="1" si="401"/>
        <v/>
      </c>
      <c r="AC893" s="310" t="e">
        <f t="shared" ca="1" si="402"/>
        <v>#N/A</v>
      </c>
      <c r="AD893" s="323" t="e">
        <f t="shared" ca="1" si="403"/>
        <v>#N/A</v>
      </c>
      <c r="AE893" s="324" t="e">
        <f t="shared" ca="1" si="382"/>
        <v>#N/A</v>
      </c>
      <c r="AG893" s="306">
        <f t="shared" ca="1" si="404"/>
        <v>2.2349307350225933</v>
      </c>
      <c r="AH893" s="304">
        <f t="shared" ca="1" si="405"/>
        <v>-7.5595202114688673</v>
      </c>
    </row>
    <row r="894" spans="1:34" x14ac:dyDescent="0.2">
      <c r="A894" s="347">
        <f t="shared" ca="1" si="383"/>
        <v>1E-4</v>
      </c>
      <c r="B894" s="304">
        <f t="shared" ca="1" si="384"/>
        <v>37.715300000000731</v>
      </c>
      <c r="D894" s="306">
        <f t="shared" ca="1" si="385"/>
        <v>-0.42545474213640189</v>
      </c>
      <c r="E894" s="307">
        <f t="shared" ca="1" si="386"/>
        <v>-2.2624261165179904</v>
      </c>
      <c r="F894" s="304">
        <f t="shared" ca="1" si="387"/>
        <v>2.302082463837694</v>
      </c>
      <c r="G894" s="306">
        <f t="shared" ca="1" si="388"/>
        <v>7.4358296013376108</v>
      </c>
      <c r="H894" s="307">
        <f t="shared" ca="1" si="389"/>
        <v>-131.91271623947958</v>
      </c>
      <c r="I894" s="304">
        <f t="shared" ca="1" si="390"/>
        <v>132.12212633596837</v>
      </c>
      <c r="J894" s="306">
        <f t="shared" ca="1" si="391"/>
        <v>515.22511340180665</v>
      </c>
      <c r="K894" s="307">
        <f t="shared" ca="1" si="392"/>
        <v>-4.9256775899556073</v>
      </c>
      <c r="L894" s="304">
        <f t="shared" ca="1" si="377"/>
        <v>515.2486582026437</v>
      </c>
      <c r="M894" s="306">
        <f t="shared" ca="1" si="393"/>
        <v>-1.5144866016075214</v>
      </c>
      <c r="N894" s="304">
        <f t="shared" ca="1" si="394"/>
        <v>-86.773690401221899</v>
      </c>
      <c r="P894" s="310">
        <f t="shared" ca="1" si="395"/>
        <v>23</v>
      </c>
      <c r="Q894" s="304">
        <f t="shared" ca="1" si="396"/>
        <v>0</v>
      </c>
      <c r="R894" s="306">
        <f t="shared" ca="1" si="397"/>
        <v>0</v>
      </c>
      <c r="S894" s="307">
        <f t="shared" ca="1" si="398"/>
        <v>7.4819999999999904</v>
      </c>
      <c r="T894" s="304">
        <f t="shared" ca="1" si="378"/>
        <v>73.398419999999916</v>
      </c>
      <c r="U894" s="311">
        <f t="shared" ca="1" si="379"/>
        <v>0</v>
      </c>
      <c r="V894" s="306">
        <f t="shared" ca="1" si="380"/>
        <v>1.2256035441479638</v>
      </c>
      <c r="W894" s="304">
        <f t="shared" ca="1" si="381"/>
        <v>56.56086214438745</v>
      </c>
      <c r="Y894" s="314" t="str">
        <f t="shared" ca="1" si="399"/>
        <v/>
      </c>
      <c r="Z894" s="315" t="str">
        <f t="shared" ca="1" si="400"/>
        <v/>
      </c>
      <c r="AA894" s="316" t="str">
        <f t="shared" ca="1" si="401"/>
        <v/>
      </c>
      <c r="AC894" s="310" t="e">
        <f t="shared" ca="1" si="402"/>
        <v>#N/A</v>
      </c>
      <c r="AD894" s="323" t="e">
        <f t="shared" ca="1" si="403"/>
        <v>#N/A</v>
      </c>
      <c r="AE894" s="324" t="e">
        <f t="shared" ca="1" si="382"/>
        <v>#N/A</v>
      </c>
      <c r="AG894" s="306">
        <f t="shared" ca="1" si="404"/>
        <v>2.234895418818617</v>
      </c>
      <c r="AH894" s="304">
        <f t="shared" ca="1" si="405"/>
        <v>-7.5595557583912338</v>
      </c>
    </row>
    <row r="895" spans="1:34" x14ac:dyDescent="0.2">
      <c r="A895" s="347">
        <f t="shared" ca="1" si="383"/>
        <v>1E-4</v>
      </c>
      <c r="B895" s="304">
        <f t="shared" ca="1" si="384"/>
        <v>37.715400000000734</v>
      </c>
      <c r="D895" s="306">
        <f t="shared" ca="1" si="385"/>
        <v>-0.42545358872873135</v>
      </c>
      <c r="E895" s="307">
        <f t="shared" ca="1" si="386"/>
        <v>-2.2623904484113444</v>
      </c>
      <c r="F895" s="304">
        <f t="shared" ca="1" si="387"/>
        <v>2.30204719700206</v>
      </c>
      <c r="G895" s="306">
        <f t="shared" ca="1" si="388"/>
        <v>7.4357870559787376</v>
      </c>
      <c r="H895" s="307">
        <f t="shared" ca="1" si="389"/>
        <v>-131.91294247852443</v>
      </c>
      <c r="I895" s="304">
        <f t="shared" ca="1" si="390"/>
        <v>132.12234982199021</v>
      </c>
      <c r="J895" s="306">
        <f t="shared" ca="1" si="391"/>
        <v>515.22511340180665</v>
      </c>
      <c r="K895" s="307">
        <f t="shared" ca="1" si="392"/>
        <v>-4.9388688728915078</v>
      </c>
      <c r="L895" s="304">
        <f t="shared" ca="1" si="377"/>
        <v>515.24878447760375</v>
      </c>
      <c r="M895" s="306">
        <f t="shared" ca="1" si="393"/>
        <v>-1.5144870194827167</v>
      </c>
      <c r="N895" s="304">
        <f t="shared" ca="1" si="394"/>
        <v>-86.773714343706942</v>
      </c>
      <c r="P895" s="310">
        <f t="shared" ca="1" si="395"/>
        <v>23</v>
      </c>
      <c r="Q895" s="304">
        <f t="shared" ca="1" si="396"/>
        <v>0</v>
      </c>
      <c r="R895" s="306">
        <f t="shared" ca="1" si="397"/>
        <v>0</v>
      </c>
      <c r="S895" s="307">
        <f t="shared" ca="1" si="398"/>
        <v>7.4819999999999904</v>
      </c>
      <c r="T895" s="304">
        <f t="shared" ca="1" si="378"/>
        <v>73.398419999999916</v>
      </c>
      <c r="U895" s="311">
        <f t="shared" ca="1" si="379"/>
        <v>0</v>
      </c>
      <c r="V895" s="306">
        <f t="shared" ca="1" si="380"/>
        <v>1.2256051608774403</v>
      </c>
      <c r="W895" s="304">
        <f t="shared" ca="1" si="381"/>
        <v>56.56112810252295</v>
      </c>
      <c r="Y895" s="314" t="str">
        <f t="shared" ca="1" si="399"/>
        <v/>
      </c>
      <c r="Z895" s="315" t="str">
        <f t="shared" ca="1" si="400"/>
        <v/>
      </c>
      <c r="AA895" s="316" t="str">
        <f t="shared" ca="1" si="401"/>
        <v/>
      </c>
      <c r="AC895" s="310" t="e">
        <f t="shared" ca="1" si="402"/>
        <v>#N/A</v>
      </c>
      <c r="AD895" s="323" t="e">
        <f t="shared" ca="1" si="403"/>
        <v>#N/A</v>
      </c>
      <c r="AE895" s="324" t="e">
        <f t="shared" ca="1" si="382"/>
        <v>#N/A</v>
      </c>
      <c r="AG895" s="306">
        <f t="shared" ca="1" si="404"/>
        <v>2.2348601028739719</v>
      </c>
      <c r="AH895" s="304">
        <f t="shared" ca="1" si="405"/>
        <v>-7.5595913050504571</v>
      </c>
    </row>
    <row r="896" spans="1:34" x14ac:dyDescent="0.2">
      <c r="A896" s="347">
        <f t="shared" ca="1" si="383"/>
        <v>1E-4</v>
      </c>
      <c r="B896" s="304">
        <f t="shared" ca="1" si="384"/>
        <v>37.715500000000738</v>
      </c>
      <c r="D896" s="306">
        <f t="shared" ca="1" si="385"/>
        <v>-0.42545243530523263</v>
      </c>
      <c r="E896" s="307">
        <f t="shared" ca="1" si="386"/>
        <v>-2.2623547805686846</v>
      </c>
      <c r="F896" s="304">
        <f t="shared" ca="1" si="387"/>
        <v>2.3020119304358815</v>
      </c>
      <c r="G896" s="306">
        <f t="shared" ca="1" si="388"/>
        <v>7.4357445107352067</v>
      </c>
      <c r="H896" s="307">
        <f t="shared" ca="1" si="389"/>
        <v>-131.9131687140025</v>
      </c>
      <c r="I896" s="304">
        <f t="shared" ca="1" si="390"/>
        <v>132.12257330448045</v>
      </c>
      <c r="J896" s="306">
        <f t="shared" ca="1" si="391"/>
        <v>515.22511340180665</v>
      </c>
      <c r="K896" s="307">
        <f t="shared" ca="1" si="392"/>
        <v>-4.9520601784511342</v>
      </c>
      <c r="L896" s="304">
        <f t="shared" ca="1" si="377"/>
        <v>515.24891109047041</v>
      </c>
      <c r="M896" s="306">
        <f t="shared" ca="1" si="393"/>
        <v>-1.5144874373541077</v>
      </c>
      <c r="N896" s="304">
        <f t="shared" ca="1" si="394"/>
        <v>-86.773738285974034</v>
      </c>
      <c r="P896" s="310">
        <f t="shared" ca="1" si="395"/>
        <v>23</v>
      </c>
      <c r="Q896" s="304">
        <f t="shared" ca="1" si="396"/>
        <v>0</v>
      </c>
      <c r="R896" s="306">
        <f t="shared" ca="1" si="397"/>
        <v>0</v>
      </c>
      <c r="S896" s="307">
        <f t="shared" ca="1" si="398"/>
        <v>7.4819999999999904</v>
      </c>
      <c r="T896" s="304">
        <f t="shared" ca="1" si="378"/>
        <v>73.398419999999916</v>
      </c>
      <c r="U896" s="311">
        <f t="shared" ca="1" si="379"/>
        <v>0</v>
      </c>
      <c r="V896" s="306">
        <f t="shared" ca="1" si="380"/>
        <v>1.2256067776118227</v>
      </c>
      <c r="W896" s="304">
        <f t="shared" ca="1" si="381"/>
        <v>56.561394058689615</v>
      </c>
      <c r="Y896" s="314" t="str">
        <f t="shared" ca="1" si="399"/>
        <v/>
      </c>
      <c r="Z896" s="315" t="str">
        <f t="shared" ca="1" si="400"/>
        <v/>
      </c>
      <c r="AA896" s="316" t="str">
        <f t="shared" ca="1" si="401"/>
        <v/>
      </c>
      <c r="AC896" s="310" t="e">
        <f t="shared" ca="1" si="402"/>
        <v>#N/A</v>
      </c>
      <c r="AD896" s="323" t="e">
        <f t="shared" ca="1" si="403"/>
        <v>#N/A</v>
      </c>
      <c r="AE896" s="324" t="e">
        <f t="shared" ca="1" si="382"/>
        <v>#N/A</v>
      </c>
      <c r="AG896" s="306">
        <f t="shared" ca="1" si="404"/>
        <v>2.2348247871886571</v>
      </c>
      <c r="AH896" s="304">
        <f t="shared" ca="1" si="405"/>
        <v>-7.5596268514465415</v>
      </c>
    </row>
    <row r="897" spans="1:34" x14ac:dyDescent="0.2">
      <c r="A897" s="347">
        <f t="shared" ca="1" si="383"/>
        <v>1E-4</v>
      </c>
      <c r="B897" s="304">
        <f t="shared" ca="1" si="384"/>
        <v>37.715600000000741</v>
      </c>
      <c r="D897" s="306">
        <f t="shared" ca="1" si="385"/>
        <v>-0.42545128186590292</v>
      </c>
      <c r="E897" s="307">
        <f t="shared" ca="1" si="386"/>
        <v>-2.2623191129900162</v>
      </c>
      <c r="F897" s="304">
        <f t="shared" ca="1" si="387"/>
        <v>2.3019766641391639</v>
      </c>
      <c r="G897" s="306">
        <f t="shared" ca="1" si="388"/>
        <v>7.43570196560702</v>
      </c>
      <c r="H897" s="307">
        <f t="shared" ca="1" si="389"/>
        <v>-131.91339494591381</v>
      </c>
      <c r="I897" s="304">
        <f t="shared" ca="1" si="390"/>
        <v>132.12279678343918</v>
      </c>
      <c r="J897" s="306">
        <f t="shared" ca="1" si="391"/>
        <v>515.22511340180665</v>
      </c>
      <c r="K897" s="307">
        <f t="shared" ca="1" si="392"/>
        <v>-4.9652515066341296</v>
      </c>
      <c r="L897" s="304">
        <f t="shared" ca="1" si="377"/>
        <v>515.24903804124529</v>
      </c>
      <c r="M897" s="306">
        <f t="shared" ca="1" si="393"/>
        <v>-1.514487855221694</v>
      </c>
      <c r="N897" s="304">
        <f t="shared" ca="1" si="394"/>
        <v>-86.773762228023131</v>
      </c>
      <c r="P897" s="310">
        <f t="shared" ca="1" si="395"/>
        <v>23</v>
      </c>
      <c r="Q897" s="304">
        <f t="shared" ca="1" si="396"/>
        <v>0</v>
      </c>
      <c r="R897" s="306">
        <f t="shared" ca="1" si="397"/>
        <v>0</v>
      </c>
      <c r="S897" s="307">
        <f t="shared" ca="1" si="398"/>
        <v>7.4819999999999904</v>
      </c>
      <c r="T897" s="304">
        <f t="shared" ca="1" si="378"/>
        <v>73.398419999999916</v>
      </c>
      <c r="U897" s="311">
        <f t="shared" ca="1" si="379"/>
        <v>0</v>
      </c>
      <c r="V897" s="306">
        <f t="shared" ca="1" si="380"/>
        <v>1.2256083943511111</v>
      </c>
      <c r="W897" s="304">
        <f t="shared" ca="1" si="381"/>
        <v>56.561660012887501</v>
      </c>
      <c r="Y897" s="314" t="str">
        <f t="shared" ca="1" si="399"/>
        <v/>
      </c>
      <c r="Z897" s="315" t="str">
        <f t="shared" ca="1" si="400"/>
        <v/>
      </c>
      <c r="AA897" s="316" t="str">
        <f t="shared" ca="1" si="401"/>
        <v/>
      </c>
      <c r="AC897" s="310" t="e">
        <f t="shared" ca="1" si="402"/>
        <v>#N/A</v>
      </c>
      <c r="AD897" s="323" t="e">
        <f t="shared" ca="1" si="403"/>
        <v>#N/A</v>
      </c>
      <c r="AE897" s="324" t="e">
        <f t="shared" ca="1" si="382"/>
        <v>#N/A</v>
      </c>
      <c r="AG897" s="306">
        <f t="shared" ca="1" si="404"/>
        <v>2.2347894717626717</v>
      </c>
      <c r="AH897" s="304">
        <f t="shared" ca="1" si="405"/>
        <v>-7.5596623975794826</v>
      </c>
    </row>
    <row r="898" spans="1:34" x14ac:dyDescent="0.2">
      <c r="A898" s="347">
        <f t="shared" ca="1" si="383"/>
        <v>1E-4</v>
      </c>
      <c r="B898" s="304">
        <f t="shared" ca="1" si="384"/>
        <v>37.715700000000744</v>
      </c>
      <c r="D898" s="306">
        <f t="shared" ca="1" si="385"/>
        <v>-0.4254501284107467</v>
      </c>
      <c r="E898" s="307">
        <f t="shared" ca="1" si="386"/>
        <v>-2.2622834456753296</v>
      </c>
      <c r="F898" s="304">
        <f t="shared" ca="1" si="387"/>
        <v>2.3019413981118984</v>
      </c>
      <c r="G898" s="306">
        <f t="shared" ca="1" si="388"/>
        <v>7.4356594205941793</v>
      </c>
      <c r="H898" s="307">
        <f t="shared" ca="1" si="389"/>
        <v>-131.91362117425837</v>
      </c>
      <c r="I898" s="304">
        <f t="shared" ca="1" si="390"/>
        <v>132.12302025886638</v>
      </c>
      <c r="J898" s="306">
        <f t="shared" ca="1" si="391"/>
        <v>515.22511340180665</v>
      </c>
      <c r="K898" s="307">
        <f t="shared" ca="1" si="392"/>
        <v>-4.9784428574401378</v>
      </c>
      <c r="L898" s="304">
        <f t="shared" ca="1" si="377"/>
        <v>515.24916532992984</v>
      </c>
      <c r="M898" s="306">
        <f t="shared" ca="1" si="393"/>
        <v>-1.5144882730854758</v>
      </c>
      <c r="N898" s="304">
        <f t="shared" ca="1" si="394"/>
        <v>-86.773786169854233</v>
      </c>
      <c r="P898" s="310">
        <f t="shared" ca="1" si="395"/>
        <v>23</v>
      </c>
      <c r="Q898" s="304">
        <f t="shared" ca="1" si="396"/>
        <v>0</v>
      </c>
      <c r="R898" s="306">
        <f t="shared" ca="1" si="397"/>
        <v>0</v>
      </c>
      <c r="S898" s="307">
        <f t="shared" ca="1" si="398"/>
        <v>7.4819999999999904</v>
      </c>
      <c r="T898" s="304">
        <f t="shared" ca="1" si="378"/>
        <v>73.398419999999916</v>
      </c>
      <c r="U898" s="311">
        <f t="shared" ca="1" si="379"/>
        <v>0</v>
      </c>
      <c r="V898" s="306">
        <f t="shared" ca="1" si="380"/>
        <v>1.2256100110953052</v>
      </c>
      <c r="W898" s="304">
        <f t="shared" ca="1" si="381"/>
        <v>56.561925965116522</v>
      </c>
      <c r="Y898" s="314" t="str">
        <f t="shared" ca="1" si="399"/>
        <v/>
      </c>
      <c r="Z898" s="315" t="str">
        <f t="shared" ca="1" si="400"/>
        <v/>
      </c>
      <c r="AA898" s="316" t="str">
        <f t="shared" ca="1" si="401"/>
        <v/>
      </c>
      <c r="AC898" s="310" t="e">
        <f t="shared" ca="1" si="402"/>
        <v>#N/A</v>
      </c>
      <c r="AD898" s="323" t="e">
        <f t="shared" ca="1" si="403"/>
        <v>#N/A</v>
      </c>
      <c r="AE898" s="324" t="e">
        <f t="shared" ca="1" si="382"/>
        <v>#N/A</v>
      </c>
      <c r="AG898" s="306">
        <f t="shared" ca="1" si="404"/>
        <v>2.2347541565960132</v>
      </c>
      <c r="AH898" s="304">
        <f t="shared" ca="1" si="405"/>
        <v>-7.5596979434492884</v>
      </c>
    </row>
    <row r="899" spans="1:34" x14ac:dyDescent="0.2">
      <c r="A899" s="347">
        <f t="shared" ca="1" si="383"/>
        <v>1E-4</v>
      </c>
      <c r="B899" s="304">
        <f t="shared" ca="1" si="384"/>
        <v>37.715800000000748</v>
      </c>
      <c r="D899" s="306">
        <f t="shared" ca="1" si="385"/>
        <v>-0.42544897493976236</v>
      </c>
      <c r="E899" s="307">
        <f t="shared" ca="1" si="386"/>
        <v>-2.2622477786246389</v>
      </c>
      <c r="F899" s="304">
        <f t="shared" ca="1" si="387"/>
        <v>2.3019061323540995</v>
      </c>
      <c r="G899" s="306">
        <f t="shared" ca="1" si="388"/>
        <v>7.4356168756966854</v>
      </c>
      <c r="H899" s="307">
        <f t="shared" ca="1" si="389"/>
        <v>-131.91384739903623</v>
      </c>
      <c r="I899" s="304">
        <f t="shared" ca="1" si="390"/>
        <v>132.12324373076208</v>
      </c>
      <c r="J899" s="306">
        <f t="shared" ca="1" si="391"/>
        <v>515.22511340180665</v>
      </c>
      <c r="K899" s="307">
        <f t="shared" ca="1" si="392"/>
        <v>-4.9916342308688026</v>
      </c>
      <c r="L899" s="304">
        <f t="shared" ca="1" si="377"/>
        <v>515.24929295652544</v>
      </c>
      <c r="M899" s="306">
        <f t="shared" ca="1" si="393"/>
        <v>-1.5144886909454531</v>
      </c>
      <c r="N899" s="304">
        <f t="shared" ca="1" si="394"/>
        <v>-86.773810111467355</v>
      </c>
      <c r="P899" s="310">
        <f t="shared" ca="1" si="395"/>
        <v>23</v>
      </c>
      <c r="Q899" s="304">
        <f t="shared" ca="1" si="396"/>
        <v>0</v>
      </c>
      <c r="R899" s="306">
        <f t="shared" ca="1" si="397"/>
        <v>0</v>
      </c>
      <c r="S899" s="307">
        <f t="shared" ca="1" si="398"/>
        <v>7.4819999999999904</v>
      </c>
      <c r="T899" s="304">
        <f t="shared" ca="1" si="378"/>
        <v>73.398419999999916</v>
      </c>
      <c r="U899" s="311">
        <f t="shared" ca="1" si="379"/>
        <v>0</v>
      </c>
      <c r="V899" s="306">
        <f t="shared" ca="1" si="380"/>
        <v>1.2256116278444056</v>
      </c>
      <c r="W899" s="304">
        <f t="shared" ca="1" si="381"/>
        <v>56.562191915376744</v>
      </c>
      <c r="Y899" s="314" t="str">
        <f t="shared" ca="1" si="399"/>
        <v/>
      </c>
      <c r="Z899" s="315" t="str">
        <f t="shared" ca="1" si="400"/>
        <v/>
      </c>
      <c r="AA899" s="316" t="str">
        <f t="shared" ca="1" si="401"/>
        <v/>
      </c>
      <c r="AC899" s="310" t="e">
        <f t="shared" ca="1" si="402"/>
        <v>#N/A</v>
      </c>
      <c r="AD899" s="323" t="e">
        <f t="shared" ca="1" si="403"/>
        <v>#N/A</v>
      </c>
      <c r="AE899" s="324" t="e">
        <f t="shared" ca="1" si="382"/>
        <v>#N/A</v>
      </c>
      <c r="AG899" s="306">
        <f t="shared" ca="1" si="404"/>
        <v>2.2347188416886921</v>
      </c>
      <c r="AH899" s="304">
        <f t="shared" ca="1" si="405"/>
        <v>-7.5597334890559464</v>
      </c>
    </row>
    <row r="900" spans="1:34" x14ac:dyDescent="0.2">
      <c r="A900" s="347">
        <f t="shared" ca="1" si="383"/>
        <v>1E-4</v>
      </c>
      <c r="B900" s="304">
        <f t="shared" ca="1" si="384"/>
        <v>37.715900000000751</v>
      </c>
      <c r="D900" s="306">
        <f t="shared" ca="1" si="385"/>
        <v>-0.42544782145295124</v>
      </c>
      <c r="E900" s="307">
        <f t="shared" ca="1" si="386"/>
        <v>-2.2622121118379335</v>
      </c>
      <c r="F900" s="304">
        <f t="shared" ca="1" si="387"/>
        <v>2.3018708668657553</v>
      </c>
      <c r="G900" s="306">
        <f t="shared" ca="1" si="388"/>
        <v>7.4355743309145401</v>
      </c>
      <c r="H900" s="307">
        <f t="shared" ca="1" si="389"/>
        <v>-131.91407362024742</v>
      </c>
      <c r="I900" s="304">
        <f t="shared" ca="1" si="390"/>
        <v>132.12346719912634</v>
      </c>
      <c r="J900" s="306">
        <f t="shared" ca="1" si="391"/>
        <v>515.22511340180665</v>
      </c>
      <c r="K900" s="307">
        <f t="shared" ca="1" si="392"/>
        <v>-5.0048256269197671</v>
      </c>
      <c r="L900" s="304">
        <f t="shared" ref="L900:L963" ca="1" si="406">SQRT(pos_x^2+pos_z^2)</f>
        <v>515.24942092103356</v>
      </c>
      <c r="M900" s="306">
        <f t="shared" ca="1" si="393"/>
        <v>-1.5144891088016263</v>
      </c>
      <c r="N900" s="304">
        <f t="shared" ca="1" si="394"/>
        <v>-86.773834052862526</v>
      </c>
      <c r="P900" s="310">
        <f t="shared" ca="1" si="395"/>
        <v>23</v>
      </c>
      <c r="Q900" s="304">
        <f t="shared" ca="1" si="396"/>
        <v>0</v>
      </c>
      <c r="R900" s="306">
        <f t="shared" ca="1" si="397"/>
        <v>0</v>
      </c>
      <c r="S900" s="307">
        <f t="shared" ca="1" si="398"/>
        <v>7.4819999999999904</v>
      </c>
      <c r="T900" s="304">
        <f t="shared" ref="T900:T963" ca="1" si="407">m*g</f>
        <v>73.398419999999916</v>
      </c>
      <c r="U900" s="311">
        <f t="shared" ref="U900:U963" ca="1" si="408">IF(pos_xz&lt;L_rampe,Poids*COS(Beta),0)</f>
        <v>0</v>
      </c>
      <c r="V900" s="306">
        <f t="shared" ref="V900:V963" ca="1" si="409">Rho_moyen*(20000-Alt_rampe-pos_z)/(20000+Alt_rampe+pos_z)</f>
        <v>1.2256132445984118</v>
      </c>
      <c r="W900" s="304">
        <f t="shared" ref="W900:W963" ca="1" si="410">1/2*Rho*Sref*Cx*vit_xz^2</f>
        <v>56.562457863668136</v>
      </c>
      <c r="Y900" s="314" t="str">
        <f t="shared" ca="1" si="399"/>
        <v/>
      </c>
      <c r="Z900" s="315" t="str">
        <f t="shared" ca="1" si="400"/>
        <v/>
      </c>
      <c r="AA900" s="316" t="str">
        <f t="shared" ca="1" si="401"/>
        <v/>
      </c>
      <c r="AC900" s="310" t="e">
        <f t="shared" ca="1" si="402"/>
        <v>#N/A</v>
      </c>
      <c r="AD900" s="323" t="e">
        <f t="shared" ca="1" si="403"/>
        <v>#N/A</v>
      </c>
      <c r="AE900" s="324" t="e">
        <f t="shared" ref="AE900:AE963" ca="1" si="411">IF(t&lt;T_para, pos_z, NA())</f>
        <v>#N/A</v>
      </c>
      <c r="AG900" s="306">
        <f t="shared" ca="1" si="404"/>
        <v>2.2346835270406942</v>
      </c>
      <c r="AH900" s="304">
        <f t="shared" ca="1" si="405"/>
        <v>-7.5597690343994675</v>
      </c>
    </row>
    <row r="901" spans="1:34" x14ac:dyDescent="0.2">
      <c r="A901" s="347">
        <f t="shared" ref="A901:A964" ca="1" si="412">IF(B900+0.01&lt;=T_ini+ROUNDUP(Temps_fin_propu,0), 0.01, IF(K900&gt;0, 0.1, 0.0001))</f>
        <v>1E-4</v>
      </c>
      <c r="B901" s="304">
        <f t="shared" ref="B901:B964" ca="1" si="413">B900+pas</f>
        <v>37.716000000000754</v>
      </c>
      <c r="D901" s="306">
        <f t="shared" ref="D901:D964" ca="1" si="414">IF(AND(L900&lt;L_rampe,Poussee&lt;Poids*SIN(M900)),0,(-W900+Poussee)/m*COS(M900)-U900/m*SIN(M900))</f>
        <v>-0.42544666795031039</v>
      </c>
      <c r="E901" s="307">
        <f t="shared" ref="E901:E964" ca="1" si="415">IF(AND(L900&lt;L_rampe,Poussee&lt;Poids*SIN(M900)),0,(-W900+Poussee)/m*SIN(M900)+U900/m*COS(M900)-Poids/m)</f>
        <v>-2.2621764453152178</v>
      </c>
      <c r="F901" s="304">
        <f t="shared" ref="F901:F964" ca="1" si="416">SQRT(acc_x^2+acc_z^2)</f>
        <v>2.301835601646872</v>
      </c>
      <c r="G901" s="306">
        <f t="shared" ref="G901:G964" ca="1" si="417">G900+acc_x*pas</f>
        <v>7.4355317862477452</v>
      </c>
      <c r="H901" s="307">
        <f t="shared" ref="H901:H964" ca="1" si="418">H900+acc_z*pas</f>
        <v>-131.91429983789195</v>
      </c>
      <c r="I901" s="304">
        <f t="shared" ref="I901:I964" ca="1" si="419">SQRT(vit_x^2+vit_z^2)</f>
        <v>132.12369066395911</v>
      </c>
      <c r="J901" s="306">
        <f t="shared" ref="J901:J964" ca="1" si="420">J900+0.5*(vit_x+G900)*pas*(K900&gt;=0)</f>
        <v>515.22511340180665</v>
      </c>
      <c r="K901" s="307">
        <f t="shared" ref="K901:K964" ca="1" si="421">K900+0.5*(vit_z+H900)*pas</f>
        <v>-5.018017045592674</v>
      </c>
      <c r="L901" s="304">
        <f t="shared" ca="1" si="406"/>
        <v>515.2495492234558</v>
      </c>
      <c r="M901" s="306">
        <f t="shared" ref="M901:M964" ca="1" si="422">IF(AND(L900&gt;L_rampe,G901&gt;0),ATAN2(G901,H901),$M$4)</f>
        <v>-1.5144895266539948</v>
      </c>
      <c r="N901" s="304">
        <f t="shared" ref="N901:N964" ca="1" si="423">DEGREES(Beta)</f>
        <v>-86.773857994039702</v>
      </c>
      <c r="P901" s="310">
        <f t="shared" ref="P901:P964" ca="1" si="424">MATCH(t-pas/2-T_ini,CdP_t)</f>
        <v>23</v>
      </c>
      <c r="Q901" s="304">
        <f t="shared" ref="Q901:Q964" ca="1" si="425">(INDEX(CdP,2,i_P+1)-INDEX(CdP,2,i_P+0))/(INDEX(CdP,1,i_P+1)-INDEX(CdP,1,i_P+0))*(t-pas/2-T_ini-INDEX(CdP,1,i_P+0))+INDEX(CdP,2,i_P+0)</f>
        <v>0</v>
      </c>
      <c r="R901" s="306">
        <f t="shared" ref="R901:R964" ca="1" si="426">Poussee/(g*ISP)</f>
        <v>0</v>
      </c>
      <c r="S901" s="307">
        <f t="shared" ref="S901:S964" ca="1" si="427">S900-Débit*pas</f>
        <v>7.4819999999999904</v>
      </c>
      <c r="T901" s="304">
        <f t="shared" ca="1" si="407"/>
        <v>73.398419999999916</v>
      </c>
      <c r="U901" s="311">
        <f t="shared" ca="1" si="408"/>
        <v>0</v>
      </c>
      <c r="V901" s="306">
        <f t="shared" ca="1" si="409"/>
        <v>1.2256148613573237</v>
      </c>
      <c r="W901" s="304">
        <f t="shared" ca="1" si="410"/>
        <v>56.562723809990672</v>
      </c>
      <c r="Y901" s="314" t="str">
        <f t="shared" ref="Y901:Y964" ca="1" si="428">IF(AND(pos_z&lt;=0,K900&gt;0),"Impact balistique","") &amp; IF(AND(H902&lt;0,vit_z&gt;=0),"Apogée","") &amp; IF(AND(Poussee=0,Q900&gt;0),"Fin de propulsion","") &amp; IF(AND(L902&gt;L_rampe,pos_xz&lt;=L_rampe),"Sortie de rampe","")</f>
        <v/>
      </c>
      <c r="Z901" s="315" t="str">
        <f t="shared" ref="Z901:Z964" ca="1" si="429">IF(ABS(t-T_para)&lt;pas/2,"Para","")</f>
        <v/>
      </c>
      <c r="AA901" s="316" t="str">
        <f t="shared" ref="AA901:AA964" ca="1" si="430">IF(ABS(t-T_satellite)&lt;pas/2,"Satellite","")</f>
        <v/>
      </c>
      <c r="AC901" s="310" t="e">
        <f t="shared" ref="AC901:AC964" ca="1" si="431">IF(ABS(t-ROUND(t,0))&lt;0.001,t,NA())</f>
        <v>#N/A</v>
      </c>
      <c r="AD901" s="323" t="e">
        <f t="shared" ref="AD901:AD964" ca="1" si="432">IF(ABS(t-ROUND(t,0))&lt;0.001,pos_x,NA())</f>
        <v>#N/A</v>
      </c>
      <c r="AE901" s="324" t="e">
        <f t="shared" ca="1" si="411"/>
        <v>#N/A</v>
      </c>
      <c r="AG901" s="306">
        <f t="shared" ref="AG901:AG964" ca="1" si="433">IF(AND(L900&lt;L_rampe,Poussee&lt;Poids*SIN(M900)),0,(-W900+Poussee)/m-Poids*SIN(M900)/m)</f>
        <v>2.2346482126520302</v>
      </c>
      <c r="AH901" s="304">
        <f t="shared" ref="AH901:AH964" ca="1" si="434">IF(AND(L900&lt;L_rampe,Poussee&lt;Poids*SIN(M900)), g*SIN(M900), (-W900+Poussee)/m)</f>
        <v>-7.5598045794798461</v>
      </c>
    </row>
    <row r="902" spans="1:34" x14ac:dyDescent="0.2">
      <c r="A902" s="347">
        <f t="shared" ca="1" si="412"/>
        <v>1E-4</v>
      </c>
      <c r="B902" s="304">
        <f t="shared" ca="1" si="413"/>
        <v>37.716100000000758</v>
      </c>
      <c r="D902" s="306">
        <f t="shared" ca="1" si="414"/>
        <v>-0.42544551443184536</v>
      </c>
      <c r="E902" s="307">
        <f t="shared" ca="1" si="415"/>
        <v>-2.2621407790564954</v>
      </c>
      <c r="F902" s="304">
        <f t="shared" ca="1" si="416"/>
        <v>2.3018003366974527</v>
      </c>
      <c r="G902" s="306">
        <f t="shared" ca="1" si="417"/>
        <v>7.4354892416963017</v>
      </c>
      <c r="H902" s="307">
        <f t="shared" ca="1" si="418"/>
        <v>-131.91452605196986</v>
      </c>
      <c r="I902" s="304">
        <f t="shared" ca="1" si="419"/>
        <v>132.12391412526051</v>
      </c>
      <c r="J902" s="306">
        <f t="shared" ca="1" si="420"/>
        <v>515.22511340180665</v>
      </c>
      <c r="K902" s="307">
        <f t="shared" ca="1" si="421"/>
        <v>-5.0312084868871674</v>
      </c>
      <c r="L902" s="304">
        <f t="shared" ca="1" si="406"/>
        <v>515.24967786379364</v>
      </c>
      <c r="M902" s="306">
        <f t="shared" ca="1" si="422"/>
        <v>-1.5144899445025592</v>
      </c>
      <c r="N902" s="304">
        <f t="shared" ca="1" si="423"/>
        <v>-86.773881934998911</v>
      </c>
      <c r="P902" s="310">
        <f t="shared" ca="1" si="424"/>
        <v>23</v>
      </c>
      <c r="Q902" s="304">
        <f t="shared" ca="1" si="425"/>
        <v>0</v>
      </c>
      <c r="R902" s="306">
        <f t="shared" ca="1" si="426"/>
        <v>0</v>
      </c>
      <c r="S902" s="307">
        <f t="shared" ca="1" si="427"/>
        <v>7.4819999999999904</v>
      </c>
      <c r="T902" s="304">
        <f t="shared" ca="1" si="407"/>
        <v>73.398419999999916</v>
      </c>
      <c r="U902" s="311">
        <f t="shared" ca="1" si="408"/>
        <v>0</v>
      </c>
      <c r="V902" s="306">
        <f t="shared" ca="1" si="409"/>
        <v>1.2256164781211414</v>
      </c>
      <c r="W902" s="304">
        <f t="shared" ca="1" si="410"/>
        <v>56.562989754344393</v>
      </c>
      <c r="Y902" s="314" t="str">
        <f t="shared" ca="1" si="428"/>
        <v/>
      </c>
      <c r="Z902" s="315" t="str">
        <f t="shared" ca="1" si="429"/>
        <v/>
      </c>
      <c r="AA902" s="316" t="str">
        <f t="shared" ca="1" si="430"/>
        <v/>
      </c>
      <c r="AC902" s="310" t="e">
        <f t="shared" ca="1" si="431"/>
        <v>#N/A</v>
      </c>
      <c r="AD902" s="323" t="e">
        <f t="shared" ca="1" si="432"/>
        <v>#N/A</v>
      </c>
      <c r="AE902" s="324" t="e">
        <f t="shared" ca="1" si="411"/>
        <v>#N/A</v>
      </c>
      <c r="AG902" s="306">
        <f t="shared" ca="1" si="433"/>
        <v>2.2346128985227018</v>
      </c>
      <c r="AH902" s="304">
        <f t="shared" ca="1" si="434"/>
        <v>-7.5598401242970787</v>
      </c>
    </row>
    <row r="903" spans="1:34" x14ac:dyDescent="0.2">
      <c r="A903" s="347">
        <f t="shared" ca="1" si="412"/>
        <v>1E-4</v>
      </c>
      <c r="B903" s="304">
        <f t="shared" ca="1" si="413"/>
        <v>37.716200000000761</v>
      </c>
      <c r="D903" s="306">
        <f t="shared" ca="1" si="414"/>
        <v>-0.42544436089755228</v>
      </c>
      <c r="E903" s="307">
        <f t="shared" ca="1" si="415"/>
        <v>-2.2621051130617609</v>
      </c>
      <c r="F903" s="304">
        <f t="shared" ca="1" si="416"/>
        <v>2.3017650720174916</v>
      </c>
      <c r="G903" s="306">
        <f t="shared" ca="1" si="417"/>
        <v>7.435446697260212</v>
      </c>
      <c r="H903" s="307">
        <f t="shared" ca="1" si="418"/>
        <v>-131.91475226248116</v>
      </c>
      <c r="I903" s="304">
        <f t="shared" ca="1" si="419"/>
        <v>132.12413758303052</v>
      </c>
      <c r="J903" s="306">
        <f t="shared" ca="1" si="420"/>
        <v>515.22511340180665</v>
      </c>
      <c r="K903" s="307">
        <f t="shared" ca="1" si="421"/>
        <v>-5.0443999508028901</v>
      </c>
      <c r="L903" s="304">
        <f t="shared" ca="1" si="406"/>
        <v>515.24980684204843</v>
      </c>
      <c r="M903" s="306">
        <f t="shared" ca="1" si="422"/>
        <v>-1.5144903623473194</v>
      </c>
      <c r="N903" s="304">
        <f t="shared" ca="1" si="423"/>
        <v>-86.773905875740169</v>
      </c>
      <c r="P903" s="310">
        <f t="shared" ca="1" si="424"/>
        <v>23</v>
      </c>
      <c r="Q903" s="304">
        <f t="shared" ca="1" si="425"/>
        <v>0</v>
      </c>
      <c r="R903" s="306">
        <f t="shared" ca="1" si="426"/>
        <v>0</v>
      </c>
      <c r="S903" s="307">
        <f t="shared" ca="1" si="427"/>
        <v>7.4819999999999904</v>
      </c>
      <c r="T903" s="304">
        <f t="shared" ca="1" si="407"/>
        <v>73.398419999999916</v>
      </c>
      <c r="U903" s="311">
        <f t="shared" ca="1" si="408"/>
        <v>0</v>
      </c>
      <c r="V903" s="306">
        <f t="shared" ca="1" si="409"/>
        <v>1.225618094889865</v>
      </c>
      <c r="W903" s="304">
        <f t="shared" ca="1" si="410"/>
        <v>56.563255696729286</v>
      </c>
      <c r="Y903" s="314" t="str">
        <f t="shared" ca="1" si="428"/>
        <v/>
      </c>
      <c r="Z903" s="315" t="str">
        <f t="shared" ca="1" si="429"/>
        <v/>
      </c>
      <c r="AA903" s="316" t="str">
        <f t="shared" ca="1" si="430"/>
        <v/>
      </c>
      <c r="AC903" s="310" t="e">
        <f t="shared" ca="1" si="431"/>
        <v>#N/A</v>
      </c>
      <c r="AD903" s="323" t="e">
        <f t="shared" ca="1" si="432"/>
        <v>#N/A</v>
      </c>
      <c r="AE903" s="324" t="e">
        <f t="shared" ca="1" si="411"/>
        <v>#N/A</v>
      </c>
      <c r="AG903" s="306">
        <f t="shared" ca="1" si="433"/>
        <v>2.234577584652703</v>
      </c>
      <c r="AH903" s="304">
        <f t="shared" ca="1" si="434"/>
        <v>-7.5598756688511717</v>
      </c>
    </row>
    <row r="904" spans="1:34" x14ac:dyDescent="0.2">
      <c r="A904" s="347">
        <f t="shared" ca="1" si="412"/>
        <v>1E-4</v>
      </c>
      <c r="B904" s="304">
        <f t="shared" ca="1" si="413"/>
        <v>37.716300000000764</v>
      </c>
      <c r="D904" s="306">
        <f t="shared" ca="1" si="414"/>
        <v>-0.42544320734743335</v>
      </c>
      <c r="E904" s="307">
        <f t="shared" ca="1" si="415"/>
        <v>-2.2620694473310161</v>
      </c>
      <c r="F904" s="304">
        <f t="shared" ca="1" si="416"/>
        <v>2.3017298076069919</v>
      </c>
      <c r="G904" s="306">
        <f t="shared" ca="1" si="417"/>
        <v>7.4354041529394772</v>
      </c>
      <c r="H904" s="307">
        <f t="shared" ca="1" si="418"/>
        <v>-131.9149784694259</v>
      </c>
      <c r="I904" s="304">
        <f t="shared" ca="1" si="419"/>
        <v>132.12436103726915</v>
      </c>
      <c r="J904" s="306">
        <f t="shared" ca="1" si="420"/>
        <v>515.22511340180665</v>
      </c>
      <c r="K904" s="307">
        <f t="shared" ca="1" si="421"/>
        <v>-5.057591437339485</v>
      </c>
      <c r="L904" s="304">
        <f t="shared" ca="1" si="406"/>
        <v>515.24993615822177</v>
      </c>
      <c r="M904" s="306">
        <f t="shared" ca="1" si="422"/>
        <v>-1.5144907801882754</v>
      </c>
      <c r="N904" s="304">
        <f t="shared" ca="1" si="423"/>
        <v>-86.773929816263461</v>
      </c>
      <c r="P904" s="310">
        <f t="shared" ca="1" si="424"/>
        <v>23</v>
      </c>
      <c r="Q904" s="304">
        <f t="shared" ca="1" si="425"/>
        <v>0</v>
      </c>
      <c r="R904" s="306">
        <f t="shared" ca="1" si="426"/>
        <v>0</v>
      </c>
      <c r="S904" s="307">
        <f t="shared" ca="1" si="427"/>
        <v>7.4819999999999904</v>
      </c>
      <c r="T904" s="304">
        <f t="shared" ca="1" si="407"/>
        <v>73.398419999999916</v>
      </c>
      <c r="U904" s="311">
        <f t="shared" ca="1" si="408"/>
        <v>0</v>
      </c>
      <c r="V904" s="306">
        <f t="shared" ca="1" si="409"/>
        <v>1.2256197116634944</v>
      </c>
      <c r="W904" s="304">
        <f t="shared" ca="1" si="410"/>
        <v>56.563521637145328</v>
      </c>
      <c r="Y904" s="314" t="str">
        <f t="shared" ca="1" si="428"/>
        <v/>
      </c>
      <c r="Z904" s="315" t="str">
        <f t="shared" ca="1" si="429"/>
        <v/>
      </c>
      <c r="AA904" s="316" t="str">
        <f t="shared" ca="1" si="430"/>
        <v/>
      </c>
      <c r="AC904" s="310" t="e">
        <f t="shared" ca="1" si="431"/>
        <v>#N/A</v>
      </c>
      <c r="AD904" s="323" t="e">
        <f t="shared" ca="1" si="432"/>
        <v>#N/A</v>
      </c>
      <c r="AE904" s="324" t="e">
        <f t="shared" ca="1" si="411"/>
        <v>#N/A</v>
      </c>
      <c r="AG904" s="306">
        <f t="shared" ca="1" si="433"/>
        <v>2.2345422710420362</v>
      </c>
      <c r="AH904" s="304">
        <f t="shared" ca="1" si="434"/>
        <v>-7.5599112131421222</v>
      </c>
    </row>
    <row r="905" spans="1:34" x14ac:dyDescent="0.2">
      <c r="A905" s="347">
        <f t="shared" ca="1" si="412"/>
        <v>1E-4</v>
      </c>
      <c r="B905" s="304">
        <f t="shared" ca="1" si="413"/>
        <v>37.716400000000768</v>
      </c>
      <c r="D905" s="306">
        <f t="shared" ca="1" si="414"/>
        <v>-0.42544205378148747</v>
      </c>
      <c r="E905" s="307">
        <f t="shared" ca="1" si="415"/>
        <v>-2.2620337818642637</v>
      </c>
      <c r="F905" s="304">
        <f t="shared" ca="1" si="416"/>
        <v>2.3016945434659557</v>
      </c>
      <c r="G905" s="306">
        <f t="shared" ca="1" si="417"/>
        <v>7.435361608734099</v>
      </c>
      <c r="H905" s="307">
        <f t="shared" ca="1" si="418"/>
        <v>-131.91520467280409</v>
      </c>
      <c r="I905" s="304">
        <f t="shared" ca="1" si="419"/>
        <v>132.12458448797645</v>
      </c>
      <c r="J905" s="306">
        <f t="shared" ca="1" si="420"/>
        <v>515.22511340180665</v>
      </c>
      <c r="K905" s="307">
        <f t="shared" ca="1" si="421"/>
        <v>-5.0707829464965961</v>
      </c>
      <c r="L905" s="304">
        <f t="shared" ca="1" si="406"/>
        <v>515.25006581231514</v>
      </c>
      <c r="M905" s="306">
        <f t="shared" ca="1" si="422"/>
        <v>-1.5144911980254272</v>
      </c>
      <c r="N905" s="304">
        <f t="shared" ca="1" si="423"/>
        <v>-86.773953756568773</v>
      </c>
      <c r="P905" s="310">
        <f t="shared" ca="1" si="424"/>
        <v>23</v>
      </c>
      <c r="Q905" s="304">
        <f t="shared" ca="1" si="425"/>
        <v>0</v>
      </c>
      <c r="R905" s="306">
        <f t="shared" ca="1" si="426"/>
        <v>0</v>
      </c>
      <c r="S905" s="307">
        <f t="shared" ca="1" si="427"/>
        <v>7.4819999999999904</v>
      </c>
      <c r="T905" s="304">
        <f t="shared" ca="1" si="407"/>
        <v>73.398419999999916</v>
      </c>
      <c r="U905" s="311">
        <f t="shared" ca="1" si="408"/>
        <v>0</v>
      </c>
      <c r="V905" s="306">
        <f t="shared" ca="1" si="409"/>
        <v>1.2256213284420292</v>
      </c>
      <c r="W905" s="304">
        <f t="shared" ca="1" si="410"/>
        <v>56.563787575592521</v>
      </c>
      <c r="Y905" s="314" t="str">
        <f t="shared" ca="1" si="428"/>
        <v/>
      </c>
      <c r="Z905" s="315" t="str">
        <f t="shared" ca="1" si="429"/>
        <v/>
      </c>
      <c r="AA905" s="316" t="str">
        <f t="shared" ca="1" si="430"/>
        <v/>
      </c>
      <c r="AC905" s="310" t="e">
        <f t="shared" ca="1" si="431"/>
        <v>#N/A</v>
      </c>
      <c r="AD905" s="323" t="e">
        <f t="shared" ca="1" si="432"/>
        <v>#N/A</v>
      </c>
      <c r="AE905" s="324" t="e">
        <f t="shared" ca="1" si="411"/>
        <v>#N/A</v>
      </c>
      <c r="AG905" s="306">
        <f t="shared" ca="1" si="433"/>
        <v>2.2345069576907042</v>
      </c>
      <c r="AH905" s="304">
        <f t="shared" ca="1" si="434"/>
        <v>-7.5599467571699277</v>
      </c>
    </row>
    <row r="906" spans="1:34" x14ac:dyDescent="0.2">
      <c r="A906" s="347">
        <f t="shared" ca="1" si="412"/>
        <v>1E-4</v>
      </c>
      <c r="B906" s="304">
        <f t="shared" ca="1" si="413"/>
        <v>37.716500000000771</v>
      </c>
      <c r="D906" s="306">
        <f t="shared" ca="1" si="414"/>
        <v>-0.4254409001997172</v>
      </c>
      <c r="E906" s="307">
        <f t="shared" ca="1" si="415"/>
        <v>-2.2619981166615029</v>
      </c>
      <c r="F906" s="304">
        <f t="shared" ca="1" si="416"/>
        <v>2.3016592795943822</v>
      </c>
      <c r="G906" s="306">
        <f t="shared" ca="1" si="417"/>
        <v>7.4353190646440792</v>
      </c>
      <c r="H906" s="307">
        <f t="shared" ca="1" si="418"/>
        <v>-131.91543087261576</v>
      </c>
      <c r="I906" s="304">
        <f t="shared" ca="1" si="419"/>
        <v>132.12480793515246</v>
      </c>
      <c r="J906" s="306">
        <f t="shared" ca="1" si="420"/>
        <v>515.22511340180665</v>
      </c>
      <c r="K906" s="307">
        <f t="shared" ca="1" si="421"/>
        <v>-5.0839744782738672</v>
      </c>
      <c r="L906" s="304">
        <f t="shared" ca="1" si="406"/>
        <v>515.25019580432991</v>
      </c>
      <c r="M906" s="306">
        <f t="shared" ca="1" si="422"/>
        <v>-1.5144916158587749</v>
      </c>
      <c r="N906" s="304">
        <f t="shared" ca="1" si="423"/>
        <v>-86.773977696656132</v>
      </c>
      <c r="P906" s="310">
        <f t="shared" ca="1" si="424"/>
        <v>23</v>
      </c>
      <c r="Q906" s="304">
        <f t="shared" ca="1" si="425"/>
        <v>0</v>
      </c>
      <c r="R906" s="306">
        <f t="shared" ca="1" si="426"/>
        <v>0</v>
      </c>
      <c r="S906" s="307">
        <f t="shared" ca="1" si="427"/>
        <v>7.4819999999999904</v>
      </c>
      <c r="T906" s="304">
        <f t="shared" ca="1" si="407"/>
        <v>73.398419999999916</v>
      </c>
      <c r="U906" s="311">
        <f t="shared" ca="1" si="408"/>
        <v>0</v>
      </c>
      <c r="V906" s="306">
        <f t="shared" ca="1" si="409"/>
        <v>1.2256229452254701</v>
      </c>
      <c r="W906" s="304">
        <f t="shared" ca="1" si="410"/>
        <v>56.564053512070906</v>
      </c>
      <c r="Y906" s="314" t="str">
        <f t="shared" ca="1" si="428"/>
        <v/>
      </c>
      <c r="Z906" s="315" t="str">
        <f t="shared" ca="1" si="429"/>
        <v/>
      </c>
      <c r="AA906" s="316" t="str">
        <f t="shared" ca="1" si="430"/>
        <v/>
      </c>
      <c r="AC906" s="310" t="e">
        <f t="shared" ca="1" si="431"/>
        <v>#N/A</v>
      </c>
      <c r="AD906" s="323" t="e">
        <f t="shared" ca="1" si="432"/>
        <v>#N/A</v>
      </c>
      <c r="AE906" s="324" t="e">
        <f t="shared" ca="1" si="411"/>
        <v>#N/A</v>
      </c>
      <c r="AG906" s="306">
        <f t="shared" ca="1" si="433"/>
        <v>2.2344716445987061</v>
      </c>
      <c r="AH906" s="304">
        <f t="shared" ca="1" si="434"/>
        <v>-7.559982300934589</v>
      </c>
    </row>
    <row r="907" spans="1:34" x14ac:dyDescent="0.2">
      <c r="A907" s="347">
        <f t="shared" ca="1" si="412"/>
        <v>1E-4</v>
      </c>
      <c r="B907" s="304">
        <f t="shared" ca="1" si="413"/>
        <v>37.716600000000774</v>
      </c>
      <c r="D907" s="306">
        <f t="shared" ca="1" si="414"/>
        <v>-0.4254397466021218</v>
      </c>
      <c r="E907" s="307">
        <f t="shared" ca="1" si="415"/>
        <v>-2.2619624517227308</v>
      </c>
      <c r="F907" s="304">
        <f t="shared" ca="1" si="416"/>
        <v>2.3016240159922696</v>
      </c>
      <c r="G907" s="306">
        <f t="shared" ca="1" si="417"/>
        <v>7.4352765206694187</v>
      </c>
      <c r="H907" s="307">
        <f t="shared" ca="1" si="418"/>
        <v>-131.91565706886092</v>
      </c>
      <c r="I907" s="304">
        <f t="shared" ca="1" si="419"/>
        <v>132.12503137879716</v>
      </c>
      <c r="J907" s="306">
        <f t="shared" ca="1" si="420"/>
        <v>515.22511340180665</v>
      </c>
      <c r="K907" s="307">
        <f t="shared" ca="1" si="421"/>
        <v>-5.0971660326709411</v>
      </c>
      <c r="L907" s="304">
        <f t="shared" ca="1" si="406"/>
        <v>515.25032613426765</v>
      </c>
      <c r="M907" s="306">
        <f t="shared" ca="1" si="422"/>
        <v>-1.5144920336883185</v>
      </c>
      <c r="N907" s="304">
        <f t="shared" ca="1" si="423"/>
        <v>-86.77400163652554</v>
      </c>
      <c r="P907" s="310">
        <f t="shared" ca="1" si="424"/>
        <v>23</v>
      </c>
      <c r="Q907" s="304">
        <f t="shared" ca="1" si="425"/>
        <v>0</v>
      </c>
      <c r="R907" s="306">
        <f t="shared" ca="1" si="426"/>
        <v>0</v>
      </c>
      <c r="S907" s="307">
        <f t="shared" ca="1" si="427"/>
        <v>7.4819999999999904</v>
      </c>
      <c r="T907" s="304">
        <f t="shared" ca="1" si="407"/>
        <v>73.398419999999916</v>
      </c>
      <c r="U907" s="311">
        <f t="shared" ca="1" si="408"/>
        <v>0</v>
      </c>
      <c r="V907" s="306">
        <f t="shared" ca="1" si="409"/>
        <v>1.2256245620138166</v>
      </c>
      <c r="W907" s="304">
        <f t="shared" ca="1" si="410"/>
        <v>56.564319446580413</v>
      </c>
      <c r="Y907" s="314" t="str">
        <f t="shared" ca="1" si="428"/>
        <v/>
      </c>
      <c r="Z907" s="315" t="str">
        <f t="shared" ca="1" si="429"/>
        <v/>
      </c>
      <c r="AA907" s="316" t="str">
        <f t="shared" ca="1" si="430"/>
        <v/>
      </c>
      <c r="AC907" s="310" t="e">
        <f t="shared" ca="1" si="431"/>
        <v>#N/A</v>
      </c>
      <c r="AD907" s="323" t="e">
        <f t="shared" ca="1" si="432"/>
        <v>#N/A</v>
      </c>
      <c r="AE907" s="324" t="e">
        <f t="shared" ca="1" si="411"/>
        <v>#N/A</v>
      </c>
      <c r="AG907" s="306">
        <f t="shared" ca="1" si="433"/>
        <v>2.2344363317660374</v>
      </c>
      <c r="AH907" s="304">
        <f t="shared" ca="1" si="434"/>
        <v>-7.5600178444361106</v>
      </c>
    </row>
    <row r="908" spans="1:34" x14ac:dyDescent="0.2">
      <c r="A908" s="347">
        <f t="shared" ca="1" si="412"/>
        <v>1E-4</v>
      </c>
      <c r="B908" s="304">
        <f t="shared" ca="1" si="413"/>
        <v>37.716700000000777</v>
      </c>
      <c r="D908" s="306">
        <f t="shared" ca="1" si="414"/>
        <v>-0.4254385929887014</v>
      </c>
      <c r="E908" s="307">
        <f t="shared" ca="1" si="415"/>
        <v>-2.2619267870479538</v>
      </c>
      <c r="F908" s="304">
        <f t="shared" ca="1" si="416"/>
        <v>2.3015887526596246</v>
      </c>
      <c r="G908" s="306">
        <f t="shared" ca="1" si="417"/>
        <v>7.4352339768101201</v>
      </c>
      <c r="H908" s="307">
        <f t="shared" ca="1" si="418"/>
        <v>-131.91588326153962</v>
      </c>
      <c r="I908" s="304">
        <f t="shared" ca="1" si="419"/>
        <v>132.12525481891061</v>
      </c>
      <c r="J908" s="306">
        <f t="shared" ca="1" si="420"/>
        <v>515.22511340180665</v>
      </c>
      <c r="K908" s="307">
        <f t="shared" ca="1" si="421"/>
        <v>-5.110357609687461</v>
      </c>
      <c r="L908" s="304">
        <f t="shared" ca="1" si="406"/>
        <v>515.25045680212975</v>
      </c>
      <c r="M908" s="306">
        <f t="shared" ca="1" si="422"/>
        <v>-1.5144924515140583</v>
      </c>
      <c r="N908" s="304">
        <f t="shared" ca="1" si="423"/>
        <v>-86.77402557617701</v>
      </c>
      <c r="P908" s="310">
        <f t="shared" ca="1" si="424"/>
        <v>23</v>
      </c>
      <c r="Q908" s="304">
        <f t="shared" ca="1" si="425"/>
        <v>0</v>
      </c>
      <c r="R908" s="306">
        <f t="shared" ca="1" si="426"/>
        <v>0</v>
      </c>
      <c r="S908" s="307">
        <f t="shared" ca="1" si="427"/>
        <v>7.4819999999999904</v>
      </c>
      <c r="T908" s="304">
        <f t="shared" ca="1" si="407"/>
        <v>73.398419999999916</v>
      </c>
      <c r="U908" s="311">
        <f t="shared" ca="1" si="408"/>
        <v>0</v>
      </c>
      <c r="V908" s="306">
        <f t="shared" ca="1" si="409"/>
        <v>1.2256261788070684</v>
      </c>
      <c r="W908" s="304">
        <f t="shared" ca="1" si="410"/>
        <v>56.564585379121048</v>
      </c>
      <c r="Y908" s="314" t="str">
        <f t="shared" ca="1" si="428"/>
        <v/>
      </c>
      <c r="Z908" s="315" t="str">
        <f t="shared" ca="1" si="429"/>
        <v/>
      </c>
      <c r="AA908" s="316" t="str">
        <f t="shared" ca="1" si="430"/>
        <v/>
      </c>
      <c r="AC908" s="310" t="e">
        <f t="shared" ca="1" si="431"/>
        <v>#N/A</v>
      </c>
      <c r="AD908" s="323" t="e">
        <f t="shared" ca="1" si="432"/>
        <v>#N/A</v>
      </c>
      <c r="AE908" s="324" t="e">
        <f t="shared" ca="1" si="411"/>
        <v>#N/A</v>
      </c>
      <c r="AG908" s="306">
        <f t="shared" ca="1" si="433"/>
        <v>2.2344010191927088</v>
      </c>
      <c r="AH908" s="304">
        <f t="shared" ca="1" si="434"/>
        <v>-7.5600533876744835</v>
      </c>
    </row>
    <row r="909" spans="1:34" x14ac:dyDescent="0.2">
      <c r="A909" s="347">
        <f t="shared" ca="1" si="412"/>
        <v>1E-4</v>
      </c>
      <c r="B909" s="304">
        <f t="shared" ca="1" si="413"/>
        <v>37.716800000000781</v>
      </c>
      <c r="D909" s="306">
        <f t="shared" ca="1" si="414"/>
        <v>-0.42543743935945522</v>
      </c>
      <c r="E909" s="307">
        <f t="shared" ca="1" si="415"/>
        <v>-2.2618911226371727</v>
      </c>
      <c r="F909" s="304">
        <f t="shared" ca="1" si="416"/>
        <v>2.3015534895964462</v>
      </c>
      <c r="G909" s="306">
        <f t="shared" ca="1" si="417"/>
        <v>7.4351914330661844</v>
      </c>
      <c r="H909" s="307">
        <f t="shared" ca="1" si="418"/>
        <v>-131.91610945065187</v>
      </c>
      <c r="I909" s="304">
        <f t="shared" ca="1" si="419"/>
        <v>132.12547825549282</v>
      </c>
      <c r="J909" s="306">
        <f t="shared" ca="1" si="420"/>
        <v>515.22511340180665</v>
      </c>
      <c r="K909" s="307">
        <f t="shared" ca="1" si="421"/>
        <v>-5.1235492093230706</v>
      </c>
      <c r="L909" s="304">
        <f t="shared" ca="1" si="406"/>
        <v>515.2505878079179</v>
      </c>
      <c r="M909" s="306">
        <f t="shared" ca="1" si="422"/>
        <v>-1.5144928693359943</v>
      </c>
      <c r="N909" s="304">
        <f t="shared" ca="1" si="423"/>
        <v>-86.774049515610528</v>
      </c>
      <c r="P909" s="310">
        <f t="shared" ca="1" si="424"/>
        <v>23</v>
      </c>
      <c r="Q909" s="304">
        <f t="shared" ca="1" si="425"/>
        <v>0</v>
      </c>
      <c r="R909" s="306">
        <f t="shared" ca="1" si="426"/>
        <v>0</v>
      </c>
      <c r="S909" s="307">
        <f t="shared" ca="1" si="427"/>
        <v>7.4819999999999904</v>
      </c>
      <c r="T909" s="304">
        <f t="shared" ca="1" si="407"/>
        <v>73.398419999999916</v>
      </c>
      <c r="U909" s="311">
        <f t="shared" ca="1" si="408"/>
        <v>0</v>
      </c>
      <c r="V909" s="306">
        <f t="shared" ca="1" si="409"/>
        <v>1.2256277956052259</v>
      </c>
      <c r="W909" s="304">
        <f t="shared" ca="1" si="410"/>
        <v>56.564851309692841</v>
      </c>
      <c r="Y909" s="314" t="str">
        <f t="shared" ca="1" si="428"/>
        <v/>
      </c>
      <c r="Z909" s="315" t="str">
        <f t="shared" ca="1" si="429"/>
        <v/>
      </c>
      <c r="AA909" s="316" t="str">
        <f t="shared" ca="1" si="430"/>
        <v/>
      </c>
      <c r="AC909" s="310" t="e">
        <f t="shared" ca="1" si="431"/>
        <v>#N/A</v>
      </c>
      <c r="AD909" s="323" t="e">
        <f t="shared" ca="1" si="432"/>
        <v>#N/A</v>
      </c>
      <c r="AE909" s="324" t="e">
        <f t="shared" ca="1" si="411"/>
        <v>#N/A</v>
      </c>
      <c r="AG909" s="306">
        <f t="shared" ca="1" si="433"/>
        <v>2.2343657068787142</v>
      </c>
      <c r="AH909" s="304">
        <f t="shared" ca="1" si="434"/>
        <v>-7.5600889306497088</v>
      </c>
    </row>
    <row r="910" spans="1:34" x14ac:dyDescent="0.2">
      <c r="A910" s="347">
        <f t="shared" ca="1" si="412"/>
        <v>1E-4</v>
      </c>
      <c r="B910" s="304">
        <f t="shared" ca="1" si="413"/>
        <v>37.716900000000784</v>
      </c>
      <c r="D910" s="306">
        <f t="shared" ca="1" si="414"/>
        <v>-0.42543628571438424</v>
      </c>
      <c r="E910" s="307">
        <f t="shared" ca="1" si="415"/>
        <v>-2.2618554584903832</v>
      </c>
      <c r="F910" s="304">
        <f t="shared" ca="1" si="416"/>
        <v>2.3015182268027323</v>
      </c>
      <c r="G910" s="306">
        <f t="shared" ca="1" si="417"/>
        <v>7.4351488894376132</v>
      </c>
      <c r="H910" s="307">
        <f t="shared" ca="1" si="418"/>
        <v>-131.91633563619772</v>
      </c>
      <c r="I910" s="304">
        <f t="shared" ca="1" si="419"/>
        <v>132.12570168854381</v>
      </c>
      <c r="J910" s="306">
        <f t="shared" ca="1" si="420"/>
        <v>515.22511340180665</v>
      </c>
      <c r="K910" s="307">
        <f t="shared" ca="1" si="421"/>
        <v>-5.1367408315774128</v>
      </c>
      <c r="L910" s="304">
        <f t="shared" ca="1" si="406"/>
        <v>515.25071915163335</v>
      </c>
      <c r="M910" s="306">
        <f t="shared" ca="1" si="422"/>
        <v>-1.5144932871541261</v>
      </c>
      <c r="N910" s="304">
        <f t="shared" ca="1" si="423"/>
        <v>-86.77407345482608</v>
      </c>
      <c r="P910" s="310">
        <f t="shared" ca="1" si="424"/>
        <v>23</v>
      </c>
      <c r="Q910" s="304">
        <f t="shared" ca="1" si="425"/>
        <v>0</v>
      </c>
      <c r="R910" s="306">
        <f t="shared" ca="1" si="426"/>
        <v>0</v>
      </c>
      <c r="S910" s="307">
        <f t="shared" ca="1" si="427"/>
        <v>7.4819999999999904</v>
      </c>
      <c r="T910" s="304">
        <f t="shared" ca="1" si="407"/>
        <v>73.398419999999916</v>
      </c>
      <c r="U910" s="311">
        <f t="shared" ca="1" si="408"/>
        <v>0</v>
      </c>
      <c r="V910" s="306">
        <f t="shared" ca="1" si="409"/>
        <v>1.2256294124082894</v>
      </c>
      <c r="W910" s="304">
        <f t="shared" ca="1" si="410"/>
        <v>56.565117238295784</v>
      </c>
      <c r="Y910" s="314" t="str">
        <f t="shared" ca="1" si="428"/>
        <v/>
      </c>
      <c r="Z910" s="315" t="str">
        <f t="shared" ca="1" si="429"/>
        <v/>
      </c>
      <c r="AA910" s="316" t="str">
        <f t="shared" ca="1" si="430"/>
        <v/>
      </c>
      <c r="AC910" s="310" t="e">
        <f t="shared" ca="1" si="431"/>
        <v>#N/A</v>
      </c>
      <c r="AD910" s="323" t="e">
        <f t="shared" ca="1" si="432"/>
        <v>#N/A</v>
      </c>
      <c r="AE910" s="324" t="e">
        <f t="shared" ca="1" si="411"/>
        <v>#N/A</v>
      </c>
      <c r="AG910" s="306">
        <f t="shared" ca="1" si="433"/>
        <v>2.2343303948240587</v>
      </c>
      <c r="AH910" s="304">
        <f t="shared" ca="1" si="434"/>
        <v>-7.5601244733617898</v>
      </c>
    </row>
    <row r="911" spans="1:34" x14ac:dyDescent="0.2">
      <c r="A911" s="347">
        <f t="shared" ca="1" si="412"/>
        <v>1E-4</v>
      </c>
      <c r="B911" s="304">
        <f t="shared" ca="1" si="413"/>
        <v>37.717000000000787</v>
      </c>
      <c r="D911" s="306">
        <f t="shared" ca="1" si="414"/>
        <v>-0.42543513205349076</v>
      </c>
      <c r="E911" s="307">
        <f t="shared" ca="1" si="415"/>
        <v>-2.261819794607586</v>
      </c>
      <c r="F911" s="304">
        <f t="shared" ca="1" si="416"/>
        <v>2.3014829642784833</v>
      </c>
      <c r="G911" s="306">
        <f t="shared" ca="1" si="417"/>
        <v>7.4351063459244076</v>
      </c>
      <c r="H911" s="307">
        <f t="shared" ca="1" si="418"/>
        <v>-131.91656181817717</v>
      </c>
      <c r="I911" s="304">
        <f t="shared" ca="1" si="419"/>
        <v>132.12592511806366</v>
      </c>
      <c r="J911" s="306">
        <f t="shared" ca="1" si="420"/>
        <v>515.22511340180665</v>
      </c>
      <c r="K911" s="307">
        <f t="shared" ca="1" si="421"/>
        <v>-5.1499324764501315</v>
      </c>
      <c r="L911" s="304">
        <f t="shared" ca="1" si="406"/>
        <v>515.2508508332777</v>
      </c>
      <c r="M911" s="306">
        <f t="shared" ca="1" si="422"/>
        <v>-1.5144937049684541</v>
      </c>
      <c r="N911" s="304">
        <f t="shared" ca="1" si="423"/>
        <v>-86.774097393823695</v>
      </c>
      <c r="P911" s="310">
        <f t="shared" ca="1" si="424"/>
        <v>23</v>
      </c>
      <c r="Q911" s="304">
        <f t="shared" ca="1" si="425"/>
        <v>0</v>
      </c>
      <c r="R911" s="306">
        <f t="shared" ca="1" si="426"/>
        <v>0</v>
      </c>
      <c r="S911" s="307">
        <f t="shared" ca="1" si="427"/>
        <v>7.4819999999999904</v>
      </c>
      <c r="T911" s="304">
        <f t="shared" ca="1" si="407"/>
        <v>73.398419999999916</v>
      </c>
      <c r="U911" s="311">
        <f t="shared" ca="1" si="408"/>
        <v>0</v>
      </c>
      <c r="V911" s="306">
        <f t="shared" ca="1" si="409"/>
        <v>1.2256310292162582</v>
      </c>
      <c r="W911" s="304">
        <f t="shared" ca="1" si="410"/>
        <v>56.565383164929891</v>
      </c>
      <c r="Y911" s="314" t="str">
        <f t="shared" ca="1" si="428"/>
        <v/>
      </c>
      <c r="Z911" s="315" t="str">
        <f t="shared" ca="1" si="429"/>
        <v/>
      </c>
      <c r="AA911" s="316" t="str">
        <f t="shared" ca="1" si="430"/>
        <v/>
      </c>
      <c r="AC911" s="310" t="e">
        <f t="shared" ca="1" si="431"/>
        <v>#N/A</v>
      </c>
      <c r="AD911" s="323" t="e">
        <f t="shared" ca="1" si="432"/>
        <v>#N/A</v>
      </c>
      <c r="AE911" s="324" t="e">
        <f t="shared" ca="1" si="411"/>
        <v>#N/A</v>
      </c>
      <c r="AG911" s="306">
        <f t="shared" ca="1" si="433"/>
        <v>2.2342950830287336</v>
      </c>
      <c r="AH911" s="304">
        <f t="shared" ca="1" si="434"/>
        <v>-7.5601600158107267</v>
      </c>
    </row>
    <row r="912" spans="1:34" x14ac:dyDescent="0.2">
      <c r="A912" s="347">
        <f t="shared" ca="1" si="412"/>
        <v>1E-4</v>
      </c>
      <c r="B912" s="304">
        <f t="shared" ca="1" si="413"/>
        <v>37.717100000000791</v>
      </c>
      <c r="D912" s="306">
        <f t="shared" ca="1" si="414"/>
        <v>-0.42543397837677394</v>
      </c>
      <c r="E912" s="307">
        <f t="shared" ca="1" si="415"/>
        <v>-2.2617841309887785</v>
      </c>
      <c r="F912" s="304">
        <f t="shared" ca="1" si="416"/>
        <v>2.3014477020236965</v>
      </c>
      <c r="G912" s="306">
        <f t="shared" ca="1" si="417"/>
        <v>7.4350638025265701</v>
      </c>
      <c r="H912" s="307">
        <f t="shared" ca="1" si="418"/>
        <v>-131.91678799659027</v>
      </c>
      <c r="I912" s="304">
        <f t="shared" ca="1" si="419"/>
        <v>132.12614854405234</v>
      </c>
      <c r="J912" s="306">
        <f t="shared" ca="1" si="420"/>
        <v>515.22511340180665</v>
      </c>
      <c r="K912" s="307">
        <f t="shared" ca="1" si="421"/>
        <v>-5.1631241439408697</v>
      </c>
      <c r="L912" s="304">
        <f t="shared" ca="1" si="406"/>
        <v>515.2509828528523</v>
      </c>
      <c r="M912" s="306">
        <f t="shared" ca="1" si="422"/>
        <v>-1.5144941227789785</v>
      </c>
      <c r="N912" s="304">
        <f t="shared" ca="1" si="423"/>
        <v>-86.774121332603386</v>
      </c>
      <c r="P912" s="310">
        <f t="shared" ca="1" si="424"/>
        <v>23</v>
      </c>
      <c r="Q912" s="304">
        <f t="shared" ca="1" si="425"/>
        <v>0</v>
      </c>
      <c r="R912" s="306">
        <f t="shared" ca="1" si="426"/>
        <v>0</v>
      </c>
      <c r="S912" s="307">
        <f t="shared" ca="1" si="427"/>
        <v>7.4819999999999904</v>
      </c>
      <c r="T912" s="304">
        <f t="shared" ca="1" si="407"/>
        <v>73.398419999999916</v>
      </c>
      <c r="U912" s="311">
        <f t="shared" ca="1" si="408"/>
        <v>0</v>
      </c>
      <c r="V912" s="306">
        <f t="shared" ca="1" si="409"/>
        <v>1.225632646029132</v>
      </c>
      <c r="W912" s="304">
        <f t="shared" ca="1" si="410"/>
        <v>56.565649089595098</v>
      </c>
      <c r="Y912" s="314" t="str">
        <f t="shared" ca="1" si="428"/>
        <v/>
      </c>
      <c r="Z912" s="315" t="str">
        <f t="shared" ca="1" si="429"/>
        <v/>
      </c>
      <c r="AA912" s="316" t="str">
        <f t="shared" ca="1" si="430"/>
        <v/>
      </c>
      <c r="AC912" s="310" t="e">
        <f t="shared" ca="1" si="431"/>
        <v>#N/A</v>
      </c>
      <c r="AD912" s="323" t="e">
        <f t="shared" ca="1" si="432"/>
        <v>#N/A</v>
      </c>
      <c r="AE912" s="324" t="e">
        <f t="shared" ca="1" si="411"/>
        <v>#N/A</v>
      </c>
      <c r="AG912" s="306">
        <f t="shared" ca="1" si="433"/>
        <v>2.2342597714927468</v>
      </c>
      <c r="AH912" s="304">
        <f t="shared" ca="1" si="434"/>
        <v>-7.5601955579965203</v>
      </c>
    </row>
    <row r="913" spans="1:34" x14ac:dyDescent="0.2">
      <c r="A913" s="347">
        <f t="shared" ca="1" si="412"/>
        <v>1E-4</v>
      </c>
      <c r="B913" s="304">
        <f t="shared" ca="1" si="413"/>
        <v>37.717200000000794</v>
      </c>
      <c r="D913" s="306">
        <f t="shared" ca="1" si="414"/>
        <v>-0.42543282468423232</v>
      </c>
      <c r="E913" s="307">
        <f t="shared" ca="1" si="415"/>
        <v>-2.2617484676339723</v>
      </c>
      <c r="F913" s="304">
        <f t="shared" ca="1" si="416"/>
        <v>2.3014124400383835</v>
      </c>
      <c r="G913" s="306">
        <f t="shared" ca="1" si="417"/>
        <v>7.4350212592441016</v>
      </c>
      <c r="H913" s="307">
        <f t="shared" ca="1" si="418"/>
        <v>-131.91701417143705</v>
      </c>
      <c r="I913" s="304">
        <f t="shared" ca="1" si="419"/>
        <v>132.12637196650991</v>
      </c>
      <c r="J913" s="306">
        <f t="shared" ca="1" si="420"/>
        <v>515.22511340180665</v>
      </c>
      <c r="K913" s="307">
        <f t="shared" ca="1" si="421"/>
        <v>-5.1763158340492712</v>
      </c>
      <c r="L913" s="304">
        <f t="shared" ca="1" si="406"/>
        <v>515.25111521035876</v>
      </c>
      <c r="M913" s="306">
        <f t="shared" ca="1" si="422"/>
        <v>-1.5144945405856993</v>
      </c>
      <c r="N913" s="304">
        <f t="shared" ca="1" si="423"/>
        <v>-86.774145271165139</v>
      </c>
      <c r="P913" s="310">
        <f t="shared" ca="1" si="424"/>
        <v>23</v>
      </c>
      <c r="Q913" s="304">
        <f t="shared" ca="1" si="425"/>
        <v>0</v>
      </c>
      <c r="R913" s="306">
        <f t="shared" ca="1" si="426"/>
        <v>0</v>
      </c>
      <c r="S913" s="307">
        <f t="shared" ca="1" si="427"/>
        <v>7.4819999999999904</v>
      </c>
      <c r="T913" s="304">
        <f t="shared" ca="1" si="407"/>
        <v>73.398419999999916</v>
      </c>
      <c r="U913" s="311">
        <f t="shared" ca="1" si="408"/>
        <v>0</v>
      </c>
      <c r="V913" s="306">
        <f t="shared" ca="1" si="409"/>
        <v>1.2256342628469121</v>
      </c>
      <c r="W913" s="304">
        <f t="shared" ca="1" si="410"/>
        <v>56.565915012291477</v>
      </c>
      <c r="Y913" s="314" t="str">
        <f t="shared" ca="1" si="428"/>
        <v/>
      </c>
      <c r="Z913" s="315" t="str">
        <f t="shared" ca="1" si="429"/>
        <v/>
      </c>
      <c r="AA913" s="316" t="str">
        <f t="shared" ca="1" si="430"/>
        <v/>
      </c>
      <c r="AC913" s="310" t="e">
        <f t="shared" ca="1" si="431"/>
        <v>#N/A</v>
      </c>
      <c r="AD913" s="323" t="e">
        <f t="shared" ca="1" si="432"/>
        <v>#N/A</v>
      </c>
      <c r="AE913" s="324" t="e">
        <f t="shared" ca="1" si="411"/>
        <v>#N/A</v>
      </c>
      <c r="AG913" s="306">
        <f t="shared" ca="1" si="433"/>
        <v>2.2342244602160983</v>
      </c>
      <c r="AH913" s="304">
        <f t="shared" ca="1" si="434"/>
        <v>-7.5602310999191618</v>
      </c>
    </row>
    <row r="914" spans="1:34" x14ac:dyDescent="0.2">
      <c r="A914" s="347">
        <f t="shared" ca="1" si="412"/>
        <v>1E-4</v>
      </c>
      <c r="B914" s="304">
        <f t="shared" ca="1" si="413"/>
        <v>37.717300000000797</v>
      </c>
      <c r="D914" s="306">
        <f t="shared" ca="1" si="414"/>
        <v>-0.42543167097586732</v>
      </c>
      <c r="E914" s="307">
        <f t="shared" ca="1" si="415"/>
        <v>-2.2617128045431549</v>
      </c>
      <c r="F914" s="304">
        <f t="shared" ca="1" si="416"/>
        <v>2.3013771783225323</v>
      </c>
      <c r="G914" s="306">
        <f t="shared" ca="1" si="417"/>
        <v>7.434978716077004</v>
      </c>
      <c r="H914" s="307">
        <f t="shared" ca="1" si="418"/>
        <v>-131.91724034271749</v>
      </c>
      <c r="I914" s="304">
        <f t="shared" ca="1" si="419"/>
        <v>132.12659538543633</v>
      </c>
      <c r="J914" s="306">
        <f t="shared" ca="1" si="420"/>
        <v>515.22511340180665</v>
      </c>
      <c r="K914" s="307">
        <f t="shared" ca="1" si="421"/>
        <v>-5.1895075467749789</v>
      </c>
      <c r="L914" s="304">
        <f t="shared" ca="1" si="406"/>
        <v>515.25124790579844</v>
      </c>
      <c r="M914" s="306">
        <f t="shared" ca="1" si="422"/>
        <v>-1.5144949583886163</v>
      </c>
      <c r="N914" s="304">
        <f t="shared" ca="1" si="423"/>
        <v>-86.774169209508941</v>
      </c>
      <c r="P914" s="310">
        <f t="shared" ca="1" si="424"/>
        <v>23</v>
      </c>
      <c r="Q914" s="304">
        <f t="shared" ca="1" si="425"/>
        <v>0</v>
      </c>
      <c r="R914" s="306">
        <f t="shared" ca="1" si="426"/>
        <v>0</v>
      </c>
      <c r="S914" s="307">
        <f t="shared" ca="1" si="427"/>
        <v>7.4819999999999904</v>
      </c>
      <c r="T914" s="304">
        <f t="shared" ca="1" si="407"/>
        <v>73.398419999999916</v>
      </c>
      <c r="U914" s="311">
        <f t="shared" ca="1" si="408"/>
        <v>0</v>
      </c>
      <c r="V914" s="306">
        <f t="shared" ca="1" si="409"/>
        <v>1.2256358796695974</v>
      </c>
      <c r="W914" s="304">
        <f t="shared" ca="1" si="410"/>
        <v>56.566180933018963</v>
      </c>
      <c r="Y914" s="314" t="str">
        <f t="shared" ca="1" si="428"/>
        <v/>
      </c>
      <c r="Z914" s="315" t="str">
        <f t="shared" ca="1" si="429"/>
        <v/>
      </c>
      <c r="AA914" s="316" t="str">
        <f t="shared" ca="1" si="430"/>
        <v/>
      </c>
      <c r="AC914" s="310" t="e">
        <f t="shared" ca="1" si="431"/>
        <v>#N/A</v>
      </c>
      <c r="AD914" s="323" t="e">
        <f t="shared" ca="1" si="432"/>
        <v>#N/A</v>
      </c>
      <c r="AE914" s="324" t="e">
        <f t="shared" ca="1" si="411"/>
        <v>#N/A</v>
      </c>
      <c r="AG914" s="306">
        <f t="shared" ca="1" si="433"/>
        <v>2.2341891491987829</v>
      </c>
      <c r="AH914" s="304">
        <f t="shared" ca="1" si="434"/>
        <v>-7.5602666415786617</v>
      </c>
    </row>
    <row r="915" spans="1:34" x14ac:dyDescent="0.2">
      <c r="A915" s="347">
        <f t="shared" ca="1" si="412"/>
        <v>1E-4</v>
      </c>
      <c r="B915" s="304">
        <f t="shared" ca="1" si="413"/>
        <v>37.717400000000801</v>
      </c>
      <c r="D915" s="306">
        <f t="shared" ca="1" si="414"/>
        <v>-0.42543051725168068</v>
      </c>
      <c r="E915" s="307">
        <f t="shared" ca="1" si="415"/>
        <v>-2.2616771417163353</v>
      </c>
      <c r="F915" s="304">
        <f t="shared" ca="1" si="416"/>
        <v>2.3013419168761526</v>
      </c>
      <c r="G915" s="306">
        <f t="shared" ca="1" si="417"/>
        <v>7.434936173025279</v>
      </c>
      <c r="H915" s="307">
        <f t="shared" ca="1" si="418"/>
        <v>-131.91746651043167</v>
      </c>
      <c r="I915" s="304">
        <f t="shared" ca="1" si="419"/>
        <v>132.12681880083173</v>
      </c>
      <c r="J915" s="306">
        <f t="shared" ca="1" si="420"/>
        <v>515.22511340180665</v>
      </c>
      <c r="K915" s="307">
        <f t="shared" ca="1" si="421"/>
        <v>-5.2026992821176368</v>
      </c>
      <c r="L915" s="304">
        <f t="shared" ca="1" si="406"/>
        <v>515.25138093917292</v>
      </c>
      <c r="M915" s="306">
        <f t="shared" ca="1" si="422"/>
        <v>-1.5144953761877296</v>
      </c>
      <c r="N915" s="304">
        <f t="shared" ca="1" si="423"/>
        <v>-86.774193147634819</v>
      </c>
      <c r="P915" s="310">
        <f t="shared" ca="1" si="424"/>
        <v>23</v>
      </c>
      <c r="Q915" s="304">
        <f t="shared" ca="1" si="425"/>
        <v>0</v>
      </c>
      <c r="R915" s="306">
        <f t="shared" ca="1" si="426"/>
        <v>0</v>
      </c>
      <c r="S915" s="307">
        <f t="shared" ca="1" si="427"/>
        <v>7.4819999999999904</v>
      </c>
      <c r="T915" s="304">
        <f t="shared" ca="1" si="407"/>
        <v>73.398419999999916</v>
      </c>
      <c r="U915" s="311">
        <f t="shared" ca="1" si="408"/>
        <v>0</v>
      </c>
      <c r="V915" s="306">
        <f t="shared" ca="1" si="409"/>
        <v>1.2256374964971881</v>
      </c>
      <c r="W915" s="304">
        <f t="shared" ca="1" si="410"/>
        <v>56.566446851777606</v>
      </c>
      <c r="Y915" s="314" t="str">
        <f t="shared" ca="1" si="428"/>
        <v/>
      </c>
      <c r="Z915" s="315" t="str">
        <f t="shared" ca="1" si="429"/>
        <v/>
      </c>
      <c r="AA915" s="316" t="str">
        <f t="shared" ca="1" si="430"/>
        <v/>
      </c>
      <c r="AC915" s="310" t="e">
        <f t="shared" ca="1" si="431"/>
        <v>#N/A</v>
      </c>
      <c r="AD915" s="323" t="e">
        <f t="shared" ca="1" si="432"/>
        <v>#N/A</v>
      </c>
      <c r="AE915" s="324" t="e">
        <f t="shared" ca="1" si="411"/>
        <v>#N/A</v>
      </c>
      <c r="AG915" s="306">
        <f t="shared" ca="1" si="433"/>
        <v>2.2341538384408093</v>
      </c>
      <c r="AH915" s="304">
        <f t="shared" ca="1" si="434"/>
        <v>-7.5603021829750112</v>
      </c>
    </row>
    <row r="916" spans="1:34" x14ac:dyDescent="0.2">
      <c r="A916" s="347">
        <f t="shared" ca="1" si="412"/>
        <v>1E-4</v>
      </c>
      <c r="B916" s="304">
        <f t="shared" ca="1" si="413"/>
        <v>37.717500000000804</v>
      </c>
      <c r="D916" s="306">
        <f t="shared" ca="1" si="414"/>
        <v>-0.42542936351167199</v>
      </c>
      <c r="E916" s="307">
        <f t="shared" ca="1" si="415"/>
        <v>-2.2616414791535071</v>
      </c>
      <c r="F916" s="304">
        <f t="shared" ca="1" si="416"/>
        <v>2.3013066556992379</v>
      </c>
      <c r="G916" s="306">
        <f t="shared" ca="1" si="417"/>
        <v>7.4348936300889275</v>
      </c>
      <c r="H916" s="307">
        <f t="shared" ca="1" si="418"/>
        <v>-131.91769267457957</v>
      </c>
      <c r="I916" s="304">
        <f t="shared" ca="1" si="419"/>
        <v>132.12704221269604</v>
      </c>
      <c r="J916" s="306">
        <f t="shared" ca="1" si="420"/>
        <v>515.22511340180665</v>
      </c>
      <c r="K916" s="307">
        <f t="shared" ca="1" si="421"/>
        <v>-5.2158910400768876</v>
      </c>
      <c r="L916" s="304">
        <f t="shared" ca="1" si="406"/>
        <v>515.25151431048369</v>
      </c>
      <c r="M916" s="306">
        <f t="shared" ca="1" si="422"/>
        <v>-1.5144957939830395</v>
      </c>
      <c r="N916" s="304">
        <f t="shared" ca="1" si="423"/>
        <v>-86.774217085542773</v>
      </c>
      <c r="P916" s="310">
        <f t="shared" ca="1" si="424"/>
        <v>23</v>
      </c>
      <c r="Q916" s="304">
        <f t="shared" ca="1" si="425"/>
        <v>0</v>
      </c>
      <c r="R916" s="306">
        <f t="shared" ca="1" si="426"/>
        <v>0</v>
      </c>
      <c r="S916" s="307">
        <f t="shared" ca="1" si="427"/>
        <v>7.4819999999999904</v>
      </c>
      <c r="T916" s="304">
        <f t="shared" ca="1" si="407"/>
        <v>73.398419999999916</v>
      </c>
      <c r="U916" s="311">
        <f t="shared" ca="1" si="408"/>
        <v>0</v>
      </c>
      <c r="V916" s="306">
        <f t="shared" ca="1" si="409"/>
        <v>1.2256391133296838</v>
      </c>
      <c r="W916" s="304">
        <f t="shared" ca="1" si="410"/>
        <v>56.566712768567314</v>
      </c>
      <c r="Y916" s="314" t="str">
        <f t="shared" ca="1" si="428"/>
        <v/>
      </c>
      <c r="Z916" s="315" t="str">
        <f t="shared" ca="1" si="429"/>
        <v/>
      </c>
      <c r="AA916" s="316" t="str">
        <f t="shared" ca="1" si="430"/>
        <v/>
      </c>
      <c r="AC916" s="310" t="e">
        <f t="shared" ca="1" si="431"/>
        <v>#N/A</v>
      </c>
      <c r="AD916" s="323" t="e">
        <f t="shared" ca="1" si="432"/>
        <v>#N/A</v>
      </c>
      <c r="AE916" s="324" t="e">
        <f t="shared" ca="1" si="411"/>
        <v>#N/A</v>
      </c>
      <c r="AG916" s="306">
        <f t="shared" ca="1" si="433"/>
        <v>2.2341185279421714</v>
      </c>
      <c r="AH916" s="304">
        <f t="shared" ca="1" si="434"/>
        <v>-7.5603377241082166</v>
      </c>
    </row>
    <row r="917" spans="1:34" x14ac:dyDescent="0.2">
      <c r="A917" s="347">
        <f t="shared" ca="1" si="412"/>
        <v>1E-4</v>
      </c>
      <c r="B917" s="304">
        <f t="shared" ca="1" si="413"/>
        <v>37.717600000000807</v>
      </c>
      <c r="D917" s="306">
        <f t="shared" ca="1" si="414"/>
        <v>-0.42542820975583961</v>
      </c>
      <c r="E917" s="307">
        <f t="shared" ca="1" si="415"/>
        <v>-2.261605816854682</v>
      </c>
      <c r="F917" s="304">
        <f t="shared" ca="1" si="416"/>
        <v>2.3012713947917991</v>
      </c>
      <c r="G917" s="306">
        <f t="shared" ca="1" si="417"/>
        <v>7.4348510872679521</v>
      </c>
      <c r="H917" s="307">
        <f t="shared" ca="1" si="418"/>
        <v>-131.91791883516126</v>
      </c>
      <c r="I917" s="304">
        <f t="shared" ca="1" si="419"/>
        <v>132.12726562102935</v>
      </c>
      <c r="J917" s="306">
        <f t="shared" ca="1" si="420"/>
        <v>515.22511340180665</v>
      </c>
      <c r="K917" s="307">
        <f t="shared" ca="1" si="421"/>
        <v>-5.2290828206523745</v>
      </c>
      <c r="L917" s="304">
        <f t="shared" ca="1" si="406"/>
        <v>515.25164801973199</v>
      </c>
      <c r="M917" s="306">
        <f t="shared" ca="1" si="422"/>
        <v>-1.5144962117745457</v>
      </c>
      <c r="N917" s="304">
        <f t="shared" ca="1" si="423"/>
        <v>-86.774241023232804</v>
      </c>
      <c r="P917" s="310">
        <f t="shared" ca="1" si="424"/>
        <v>23</v>
      </c>
      <c r="Q917" s="304">
        <f t="shared" ca="1" si="425"/>
        <v>0</v>
      </c>
      <c r="R917" s="306">
        <f t="shared" ca="1" si="426"/>
        <v>0</v>
      </c>
      <c r="S917" s="307">
        <f t="shared" ca="1" si="427"/>
        <v>7.4819999999999904</v>
      </c>
      <c r="T917" s="304">
        <f t="shared" ca="1" si="407"/>
        <v>73.398419999999916</v>
      </c>
      <c r="U917" s="311">
        <f t="shared" ca="1" si="408"/>
        <v>0</v>
      </c>
      <c r="V917" s="306">
        <f t="shared" ca="1" si="409"/>
        <v>1.2256407301670857</v>
      </c>
      <c r="W917" s="304">
        <f t="shared" ca="1" si="410"/>
        <v>56.566978683388221</v>
      </c>
      <c r="Y917" s="314" t="str">
        <f t="shared" ca="1" si="428"/>
        <v/>
      </c>
      <c r="Z917" s="315" t="str">
        <f t="shared" ca="1" si="429"/>
        <v/>
      </c>
      <c r="AA917" s="316" t="str">
        <f t="shared" ca="1" si="430"/>
        <v/>
      </c>
      <c r="AC917" s="310" t="e">
        <f t="shared" ca="1" si="431"/>
        <v>#N/A</v>
      </c>
      <c r="AD917" s="323" t="e">
        <f t="shared" ca="1" si="432"/>
        <v>#N/A</v>
      </c>
      <c r="AE917" s="324" t="e">
        <f t="shared" ca="1" si="411"/>
        <v>#N/A</v>
      </c>
      <c r="AG917" s="306">
        <f t="shared" ca="1" si="433"/>
        <v>2.2340832177028771</v>
      </c>
      <c r="AH917" s="304">
        <f t="shared" ca="1" si="434"/>
        <v>-7.5603732649782662</v>
      </c>
    </row>
    <row r="918" spans="1:34" x14ac:dyDescent="0.2">
      <c r="A918" s="347">
        <f t="shared" ca="1" si="412"/>
        <v>1E-4</v>
      </c>
      <c r="B918" s="304">
        <f t="shared" ca="1" si="413"/>
        <v>37.717700000000811</v>
      </c>
      <c r="D918" s="306">
        <f t="shared" ca="1" si="414"/>
        <v>-0.42542705598418679</v>
      </c>
      <c r="E918" s="307">
        <f t="shared" ca="1" si="415"/>
        <v>-2.2615701548198448</v>
      </c>
      <c r="F918" s="304">
        <f t="shared" ca="1" si="416"/>
        <v>2.3012361341538226</v>
      </c>
      <c r="G918" s="306">
        <f t="shared" ca="1" si="417"/>
        <v>7.4348085445623537</v>
      </c>
      <c r="H918" s="307">
        <f t="shared" ca="1" si="418"/>
        <v>-131.91814499217674</v>
      </c>
      <c r="I918" s="304">
        <f t="shared" ca="1" si="419"/>
        <v>132.12748902583164</v>
      </c>
      <c r="J918" s="306">
        <f t="shared" ca="1" si="420"/>
        <v>515.22511340180665</v>
      </c>
      <c r="K918" s="307">
        <f t="shared" ca="1" si="421"/>
        <v>-5.2422746238437412</v>
      </c>
      <c r="L918" s="304">
        <f t="shared" ca="1" si="406"/>
        <v>515.25178206691953</v>
      </c>
      <c r="M918" s="306">
        <f t="shared" ca="1" si="422"/>
        <v>-1.5144966295622486</v>
      </c>
      <c r="N918" s="304">
        <f t="shared" ca="1" si="423"/>
        <v>-86.774264960704912</v>
      </c>
      <c r="P918" s="310">
        <f t="shared" ca="1" si="424"/>
        <v>23</v>
      </c>
      <c r="Q918" s="304">
        <f t="shared" ca="1" si="425"/>
        <v>0</v>
      </c>
      <c r="R918" s="306">
        <f t="shared" ca="1" si="426"/>
        <v>0</v>
      </c>
      <c r="S918" s="307">
        <f t="shared" ca="1" si="427"/>
        <v>7.4819999999999904</v>
      </c>
      <c r="T918" s="304">
        <f t="shared" ca="1" si="407"/>
        <v>73.398419999999916</v>
      </c>
      <c r="U918" s="311">
        <f t="shared" ca="1" si="408"/>
        <v>0</v>
      </c>
      <c r="V918" s="306">
        <f t="shared" ca="1" si="409"/>
        <v>1.2256423470093925</v>
      </c>
      <c r="W918" s="304">
        <f t="shared" ca="1" si="410"/>
        <v>56.567244596240201</v>
      </c>
      <c r="Y918" s="314" t="str">
        <f t="shared" ca="1" si="428"/>
        <v/>
      </c>
      <c r="Z918" s="315" t="str">
        <f t="shared" ca="1" si="429"/>
        <v/>
      </c>
      <c r="AA918" s="316" t="str">
        <f t="shared" ca="1" si="430"/>
        <v/>
      </c>
      <c r="AC918" s="310" t="e">
        <f t="shared" ca="1" si="431"/>
        <v>#N/A</v>
      </c>
      <c r="AD918" s="323" t="e">
        <f t="shared" ca="1" si="432"/>
        <v>#N/A</v>
      </c>
      <c r="AE918" s="324" t="e">
        <f t="shared" ca="1" si="411"/>
        <v>#N/A</v>
      </c>
      <c r="AG918" s="306">
        <f t="shared" ca="1" si="433"/>
        <v>2.2340479077229132</v>
      </c>
      <c r="AH918" s="304">
        <f t="shared" ca="1" si="434"/>
        <v>-7.560408805585177</v>
      </c>
    </row>
    <row r="919" spans="1:34" x14ac:dyDescent="0.2">
      <c r="A919" s="347">
        <f t="shared" ca="1" si="412"/>
        <v>1E-4</v>
      </c>
      <c r="B919" s="304">
        <f t="shared" ca="1" si="413"/>
        <v>37.717800000000814</v>
      </c>
      <c r="D919" s="306">
        <f t="shared" ca="1" si="414"/>
        <v>-0.42542590219671178</v>
      </c>
      <c r="E919" s="307">
        <f t="shared" ca="1" si="415"/>
        <v>-2.2615344930490098</v>
      </c>
      <c r="F919" s="304">
        <f t="shared" ca="1" si="416"/>
        <v>2.3012008737853216</v>
      </c>
      <c r="G919" s="306">
        <f t="shared" ca="1" si="417"/>
        <v>7.4347660019721342</v>
      </c>
      <c r="H919" s="307">
        <f t="shared" ca="1" si="418"/>
        <v>-131.91837114562605</v>
      </c>
      <c r="I919" s="304">
        <f t="shared" ca="1" si="419"/>
        <v>132.12771242710298</v>
      </c>
      <c r="J919" s="306">
        <f t="shared" ca="1" si="420"/>
        <v>515.22511340180665</v>
      </c>
      <c r="K919" s="307">
        <f t="shared" ca="1" si="421"/>
        <v>-5.2554664496506316</v>
      </c>
      <c r="L919" s="304">
        <f t="shared" ca="1" si="406"/>
        <v>515.25191645204768</v>
      </c>
      <c r="M919" s="306">
        <f t="shared" ca="1" si="422"/>
        <v>-1.5144970473461481</v>
      </c>
      <c r="N919" s="304">
        <f t="shared" ca="1" si="423"/>
        <v>-86.774288897959096</v>
      </c>
      <c r="P919" s="310">
        <f t="shared" ca="1" si="424"/>
        <v>23</v>
      </c>
      <c r="Q919" s="304">
        <f t="shared" ca="1" si="425"/>
        <v>0</v>
      </c>
      <c r="R919" s="306">
        <f t="shared" ca="1" si="426"/>
        <v>0</v>
      </c>
      <c r="S919" s="307">
        <f t="shared" ca="1" si="427"/>
        <v>7.4819999999999904</v>
      </c>
      <c r="T919" s="304">
        <f t="shared" ca="1" si="407"/>
        <v>73.398419999999916</v>
      </c>
      <c r="U919" s="311">
        <f t="shared" ca="1" si="408"/>
        <v>0</v>
      </c>
      <c r="V919" s="306">
        <f t="shared" ca="1" si="409"/>
        <v>1.2256439638566043</v>
      </c>
      <c r="W919" s="304">
        <f t="shared" ca="1" si="410"/>
        <v>56.567510507123309</v>
      </c>
      <c r="Y919" s="314" t="str">
        <f t="shared" ca="1" si="428"/>
        <v/>
      </c>
      <c r="Z919" s="315" t="str">
        <f t="shared" ca="1" si="429"/>
        <v/>
      </c>
      <c r="AA919" s="316" t="str">
        <f t="shared" ca="1" si="430"/>
        <v/>
      </c>
      <c r="AC919" s="310" t="e">
        <f t="shared" ca="1" si="431"/>
        <v>#N/A</v>
      </c>
      <c r="AD919" s="323" t="e">
        <f t="shared" ca="1" si="432"/>
        <v>#N/A</v>
      </c>
      <c r="AE919" s="324" t="e">
        <f t="shared" ca="1" si="411"/>
        <v>#N/A</v>
      </c>
      <c r="AG919" s="306">
        <f t="shared" ca="1" si="433"/>
        <v>2.2340125980022965</v>
      </c>
      <c r="AH919" s="304">
        <f t="shared" ca="1" si="434"/>
        <v>-7.5604443459289321</v>
      </c>
    </row>
    <row r="920" spans="1:34" x14ac:dyDescent="0.2">
      <c r="A920" s="347">
        <f t="shared" ca="1" si="412"/>
        <v>1E-4</v>
      </c>
      <c r="B920" s="304">
        <f t="shared" ca="1" si="413"/>
        <v>37.717900000000817</v>
      </c>
      <c r="D920" s="306">
        <f t="shared" ca="1" si="414"/>
        <v>-0.42542474839341571</v>
      </c>
      <c r="E920" s="307">
        <f t="shared" ca="1" si="415"/>
        <v>-2.2614988315421698</v>
      </c>
      <c r="F920" s="304">
        <f t="shared" ca="1" si="416"/>
        <v>2.3011656136862899</v>
      </c>
      <c r="G920" s="306">
        <f t="shared" ca="1" si="417"/>
        <v>7.4347234594972953</v>
      </c>
      <c r="H920" s="307">
        <f t="shared" ca="1" si="418"/>
        <v>-131.91859729550922</v>
      </c>
      <c r="I920" s="304">
        <f t="shared" ca="1" si="419"/>
        <v>132.12793582484338</v>
      </c>
      <c r="J920" s="306">
        <f t="shared" ca="1" si="420"/>
        <v>515.22511340180665</v>
      </c>
      <c r="K920" s="307">
        <f t="shared" ca="1" si="421"/>
        <v>-5.2686582980726886</v>
      </c>
      <c r="L920" s="304">
        <f t="shared" ca="1" si="406"/>
        <v>515.25205117511803</v>
      </c>
      <c r="M920" s="306">
        <f t="shared" ca="1" si="422"/>
        <v>-1.5144974651262442</v>
      </c>
      <c r="N920" s="304">
        <f t="shared" ca="1" si="423"/>
        <v>-86.774312834995371</v>
      </c>
      <c r="P920" s="310">
        <f t="shared" ca="1" si="424"/>
        <v>23</v>
      </c>
      <c r="Q920" s="304">
        <f t="shared" ca="1" si="425"/>
        <v>0</v>
      </c>
      <c r="R920" s="306">
        <f t="shared" ca="1" si="426"/>
        <v>0</v>
      </c>
      <c r="S920" s="307">
        <f t="shared" ca="1" si="427"/>
        <v>7.4819999999999904</v>
      </c>
      <c r="T920" s="304">
        <f t="shared" ca="1" si="407"/>
        <v>73.398419999999916</v>
      </c>
      <c r="U920" s="311">
        <f t="shared" ca="1" si="408"/>
        <v>0</v>
      </c>
      <c r="V920" s="306">
        <f t="shared" ca="1" si="409"/>
        <v>1.2256455807087216</v>
      </c>
      <c r="W920" s="304">
        <f t="shared" ca="1" si="410"/>
        <v>56.567776416037539</v>
      </c>
      <c r="Y920" s="314" t="str">
        <f t="shared" ca="1" si="428"/>
        <v/>
      </c>
      <c r="Z920" s="315" t="str">
        <f t="shared" ca="1" si="429"/>
        <v/>
      </c>
      <c r="AA920" s="316" t="str">
        <f t="shared" ca="1" si="430"/>
        <v/>
      </c>
      <c r="AC920" s="310" t="e">
        <f t="shared" ca="1" si="431"/>
        <v>#N/A</v>
      </c>
      <c r="AD920" s="323" t="e">
        <f t="shared" ca="1" si="432"/>
        <v>#N/A</v>
      </c>
      <c r="AE920" s="324" t="e">
        <f t="shared" ca="1" si="411"/>
        <v>#N/A</v>
      </c>
      <c r="AG920" s="306">
        <f t="shared" ca="1" si="433"/>
        <v>2.2339772885410181</v>
      </c>
      <c r="AH920" s="304">
        <f t="shared" ca="1" si="434"/>
        <v>-7.5604798860095404</v>
      </c>
    </row>
    <row r="921" spans="1:34" x14ac:dyDescent="0.2">
      <c r="A921" s="347">
        <f t="shared" ca="1" si="412"/>
        <v>1E-4</v>
      </c>
      <c r="B921" s="304">
        <f t="shared" ca="1" si="413"/>
        <v>37.718000000000821</v>
      </c>
      <c r="D921" s="306">
        <f t="shared" ca="1" si="414"/>
        <v>-0.42542359457429935</v>
      </c>
      <c r="E921" s="307">
        <f t="shared" ca="1" si="415"/>
        <v>-2.2614631702993266</v>
      </c>
      <c r="F921" s="304">
        <f t="shared" ca="1" si="416"/>
        <v>2.3011303538567298</v>
      </c>
      <c r="G921" s="306">
        <f t="shared" ca="1" si="417"/>
        <v>7.4346809171378379</v>
      </c>
      <c r="H921" s="307">
        <f t="shared" ca="1" si="418"/>
        <v>-131.91882344182625</v>
      </c>
      <c r="I921" s="304">
        <f t="shared" ca="1" si="419"/>
        <v>132.12815921905283</v>
      </c>
      <c r="J921" s="306">
        <f t="shared" ca="1" si="420"/>
        <v>515.22511340180665</v>
      </c>
      <c r="K921" s="307">
        <f t="shared" ca="1" si="421"/>
        <v>-5.2818501691095552</v>
      </c>
      <c r="L921" s="304">
        <f t="shared" ca="1" si="406"/>
        <v>515.25218623613182</v>
      </c>
      <c r="M921" s="306">
        <f t="shared" ca="1" si="422"/>
        <v>-1.5144978829025371</v>
      </c>
      <c r="N921" s="304">
        <f t="shared" ca="1" si="423"/>
        <v>-86.774336771813736</v>
      </c>
      <c r="P921" s="310">
        <f t="shared" ca="1" si="424"/>
        <v>23</v>
      </c>
      <c r="Q921" s="304">
        <f t="shared" ca="1" si="425"/>
        <v>0</v>
      </c>
      <c r="R921" s="306">
        <f t="shared" ca="1" si="426"/>
        <v>0</v>
      </c>
      <c r="S921" s="307">
        <f t="shared" ca="1" si="427"/>
        <v>7.4819999999999904</v>
      </c>
      <c r="T921" s="304">
        <f t="shared" ca="1" si="407"/>
        <v>73.398419999999916</v>
      </c>
      <c r="U921" s="311">
        <f t="shared" ca="1" si="408"/>
        <v>0</v>
      </c>
      <c r="V921" s="306">
        <f t="shared" ca="1" si="409"/>
        <v>1.2256471975657448</v>
      </c>
      <c r="W921" s="304">
        <f t="shared" ca="1" si="410"/>
        <v>56.568042322982897</v>
      </c>
      <c r="Y921" s="314" t="str">
        <f t="shared" ca="1" si="428"/>
        <v/>
      </c>
      <c r="Z921" s="315" t="str">
        <f t="shared" ca="1" si="429"/>
        <v/>
      </c>
      <c r="AA921" s="316" t="str">
        <f t="shared" ca="1" si="430"/>
        <v/>
      </c>
      <c r="AC921" s="310" t="e">
        <f t="shared" ca="1" si="431"/>
        <v>#N/A</v>
      </c>
      <c r="AD921" s="323" t="e">
        <f t="shared" ca="1" si="432"/>
        <v>#N/A</v>
      </c>
      <c r="AE921" s="324" t="e">
        <f t="shared" ca="1" si="411"/>
        <v>#N/A</v>
      </c>
      <c r="AG921" s="306">
        <f t="shared" ca="1" si="433"/>
        <v>2.233941979339078</v>
      </c>
      <c r="AH921" s="304">
        <f t="shared" ca="1" si="434"/>
        <v>-7.560515425827</v>
      </c>
    </row>
    <row r="922" spans="1:34" x14ac:dyDescent="0.2">
      <c r="A922" s="347">
        <f t="shared" ca="1" si="412"/>
        <v>1E-4</v>
      </c>
      <c r="B922" s="304">
        <f t="shared" ca="1" si="413"/>
        <v>37.718100000000824</v>
      </c>
      <c r="D922" s="306">
        <f t="shared" ca="1" si="414"/>
        <v>-0.42542244073936158</v>
      </c>
      <c r="E922" s="307">
        <f t="shared" ca="1" si="415"/>
        <v>-2.2614275093204785</v>
      </c>
      <c r="F922" s="304">
        <f t="shared" ca="1" si="416"/>
        <v>2.3010950942966391</v>
      </c>
      <c r="G922" s="306">
        <f t="shared" ca="1" si="417"/>
        <v>7.4346383748937637</v>
      </c>
      <c r="H922" s="307">
        <f t="shared" ca="1" si="418"/>
        <v>-131.91904958457718</v>
      </c>
      <c r="I922" s="304">
        <f t="shared" ca="1" si="419"/>
        <v>132.12838260973143</v>
      </c>
      <c r="J922" s="306">
        <f t="shared" ca="1" si="420"/>
        <v>515.22511340180665</v>
      </c>
      <c r="K922" s="307">
        <f t="shared" ca="1" si="421"/>
        <v>-5.2950420627608752</v>
      </c>
      <c r="L922" s="304">
        <f t="shared" ca="1" si="406"/>
        <v>515.25232163509077</v>
      </c>
      <c r="M922" s="306">
        <f t="shared" ca="1" si="422"/>
        <v>-1.5144983006750266</v>
      </c>
      <c r="N922" s="304">
        <f t="shared" ca="1" si="423"/>
        <v>-86.774360708414179</v>
      </c>
      <c r="P922" s="310">
        <f t="shared" ca="1" si="424"/>
        <v>23</v>
      </c>
      <c r="Q922" s="304">
        <f t="shared" ca="1" si="425"/>
        <v>0</v>
      </c>
      <c r="R922" s="306">
        <f t="shared" ca="1" si="426"/>
        <v>0</v>
      </c>
      <c r="S922" s="307">
        <f t="shared" ca="1" si="427"/>
        <v>7.4819999999999904</v>
      </c>
      <c r="T922" s="304">
        <f t="shared" ca="1" si="407"/>
        <v>73.398419999999916</v>
      </c>
      <c r="U922" s="311">
        <f t="shared" ca="1" si="408"/>
        <v>0</v>
      </c>
      <c r="V922" s="306">
        <f t="shared" ca="1" si="409"/>
        <v>1.2256488144276725</v>
      </c>
      <c r="W922" s="304">
        <f t="shared" ca="1" si="410"/>
        <v>56.568308227959363</v>
      </c>
      <c r="Y922" s="314" t="str">
        <f t="shared" ca="1" si="428"/>
        <v/>
      </c>
      <c r="Z922" s="315" t="str">
        <f t="shared" ca="1" si="429"/>
        <v/>
      </c>
      <c r="AA922" s="316" t="str">
        <f t="shared" ca="1" si="430"/>
        <v/>
      </c>
      <c r="AC922" s="310" t="e">
        <f t="shared" ca="1" si="431"/>
        <v>#N/A</v>
      </c>
      <c r="AD922" s="323" t="e">
        <f t="shared" ca="1" si="432"/>
        <v>#N/A</v>
      </c>
      <c r="AE922" s="324" t="e">
        <f t="shared" ca="1" si="411"/>
        <v>#N/A</v>
      </c>
      <c r="AG922" s="306">
        <f t="shared" ca="1" si="433"/>
        <v>2.2339066703964781</v>
      </c>
      <c r="AH922" s="304">
        <f t="shared" ca="1" si="434"/>
        <v>-7.560550965381311</v>
      </c>
    </row>
    <row r="923" spans="1:34" x14ac:dyDescent="0.2">
      <c r="A923" s="347">
        <f t="shared" ca="1" si="412"/>
        <v>1E-4</v>
      </c>
      <c r="B923" s="304">
        <f t="shared" ca="1" si="413"/>
        <v>37.718200000000827</v>
      </c>
      <c r="D923" s="306">
        <f t="shared" ca="1" si="414"/>
        <v>-0.42542128688860481</v>
      </c>
      <c r="E923" s="307">
        <f t="shared" ca="1" si="415"/>
        <v>-2.261391848605629</v>
      </c>
      <c r="F923" s="304">
        <f t="shared" ca="1" si="416"/>
        <v>2.3010598350060221</v>
      </c>
      <c r="G923" s="306">
        <f t="shared" ca="1" si="417"/>
        <v>7.4345958327650745</v>
      </c>
      <c r="H923" s="307">
        <f t="shared" ca="1" si="418"/>
        <v>-131.91927572376204</v>
      </c>
      <c r="I923" s="304">
        <f t="shared" ca="1" si="419"/>
        <v>132.12860599687912</v>
      </c>
      <c r="J923" s="306">
        <f t="shared" ca="1" si="420"/>
        <v>515.22511340180665</v>
      </c>
      <c r="K923" s="307">
        <f t="shared" ca="1" si="421"/>
        <v>-5.3082339790262925</v>
      </c>
      <c r="L923" s="304">
        <f t="shared" ca="1" si="406"/>
        <v>515.25245737199612</v>
      </c>
      <c r="M923" s="306">
        <f t="shared" ca="1" si="422"/>
        <v>-1.5144987184437129</v>
      </c>
      <c r="N923" s="304">
        <f t="shared" ca="1" si="423"/>
        <v>-86.774384644796712</v>
      </c>
      <c r="P923" s="310">
        <f t="shared" ca="1" si="424"/>
        <v>23</v>
      </c>
      <c r="Q923" s="304">
        <f t="shared" ca="1" si="425"/>
        <v>0</v>
      </c>
      <c r="R923" s="306">
        <f t="shared" ca="1" si="426"/>
        <v>0</v>
      </c>
      <c r="S923" s="307">
        <f t="shared" ca="1" si="427"/>
        <v>7.4819999999999904</v>
      </c>
      <c r="T923" s="304">
        <f t="shared" ca="1" si="407"/>
        <v>73.398419999999916</v>
      </c>
      <c r="U923" s="311">
        <f t="shared" ca="1" si="408"/>
        <v>0</v>
      </c>
      <c r="V923" s="306">
        <f t="shared" ca="1" si="409"/>
        <v>1.2256504312945058</v>
      </c>
      <c r="W923" s="304">
        <f t="shared" ca="1" si="410"/>
        <v>56.568574130966908</v>
      </c>
      <c r="Y923" s="314" t="str">
        <f t="shared" ca="1" si="428"/>
        <v/>
      </c>
      <c r="Z923" s="315" t="str">
        <f t="shared" ca="1" si="429"/>
        <v/>
      </c>
      <c r="AA923" s="316" t="str">
        <f t="shared" ca="1" si="430"/>
        <v/>
      </c>
      <c r="AC923" s="310" t="e">
        <f t="shared" ca="1" si="431"/>
        <v>#N/A</v>
      </c>
      <c r="AD923" s="323" t="e">
        <f t="shared" ca="1" si="432"/>
        <v>#N/A</v>
      </c>
      <c r="AE923" s="324" t="e">
        <f t="shared" ca="1" si="411"/>
        <v>#N/A</v>
      </c>
      <c r="AG923" s="306">
        <f t="shared" ca="1" si="433"/>
        <v>2.23387136171322</v>
      </c>
      <c r="AH923" s="304">
        <f t="shared" ca="1" si="434"/>
        <v>-7.5605865046724716</v>
      </c>
    </row>
    <row r="924" spans="1:34" x14ac:dyDescent="0.2">
      <c r="A924" s="347">
        <f t="shared" ca="1" si="412"/>
        <v>1E-4</v>
      </c>
      <c r="B924" s="304">
        <f t="shared" ca="1" si="413"/>
        <v>37.718300000000831</v>
      </c>
      <c r="D924" s="306">
        <f t="shared" ca="1" si="414"/>
        <v>-0.42542013302202797</v>
      </c>
      <c r="E924" s="307">
        <f t="shared" ca="1" si="415"/>
        <v>-2.2613561881547817</v>
      </c>
      <c r="F924" s="304">
        <f t="shared" ca="1" si="416"/>
        <v>2.3010245759848815</v>
      </c>
      <c r="G924" s="306">
        <f t="shared" ca="1" si="417"/>
        <v>7.4345532907517722</v>
      </c>
      <c r="H924" s="307">
        <f t="shared" ca="1" si="418"/>
        <v>-131.91950185938086</v>
      </c>
      <c r="I924" s="304">
        <f t="shared" ca="1" si="419"/>
        <v>132.12882938049597</v>
      </c>
      <c r="J924" s="306">
        <f t="shared" ca="1" si="420"/>
        <v>515.22511340180665</v>
      </c>
      <c r="K924" s="307">
        <f t="shared" ca="1" si="421"/>
        <v>-5.3214259179054499</v>
      </c>
      <c r="L924" s="304">
        <f t="shared" ca="1" si="406"/>
        <v>515.25259344684946</v>
      </c>
      <c r="M924" s="306">
        <f t="shared" ca="1" si="422"/>
        <v>-1.5144991362085962</v>
      </c>
      <c r="N924" s="304">
        <f t="shared" ca="1" si="423"/>
        <v>-86.774408580961364</v>
      </c>
      <c r="P924" s="310">
        <f t="shared" ca="1" si="424"/>
        <v>23</v>
      </c>
      <c r="Q924" s="304">
        <f t="shared" ca="1" si="425"/>
        <v>0</v>
      </c>
      <c r="R924" s="306">
        <f t="shared" ca="1" si="426"/>
        <v>0</v>
      </c>
      <c r="S924" s="307">
        <f t="shared" ca="1" si="427"/>
        <v>7.4819999999999904</v>
      </c>
      <c r="T924" s="304">
        <f t="shared" ca="1" si="407"/>
        <v>73.398419999999916</v>
      </c>
      <c r="U924" s="311">
        <f t="shared" ca="1" si="408"/>
        <v>0</v>
      </c>
      <c r="V924" s="306">
        <f t="shared" ca="1" si="409"/>
        <v>1.2256520481662438</v>
      </c>
      <c r="W924" s="304">
        <f t="shared" ca="1" si="410"/>
        <v>56.568840032005554</v>
      </c>
      <c r="Y924" s="314" t="str">
        <f t="shared" ca="1" si="428"/>
        <v/>
      </c>
      <c r="Z924" s="315" t="str">
        <f t="shared" ca="1" si="429"/>
        <v/>
      </c>
      <c r="AA924" s="316" t="str">
        <f t="shared" ca="1" si="430"/>
        <v/>
      </c>
      <c r="AC924" s="310" t="e">
        <f t="shared" ca="1" si="431"/>
        <v>#N/A</v>
      </c>
      <c r="AD924" s="323" t="e">
        <f t="shared" ca="1" si="432"/>
        <v>#N/A</v>
      </c>
      <c r="AE924" s="324" t="e">
        <f t="shared" ca="1" si="411"/>
        <v>#N/A</v>
      </c>
      <c r="AG924" s="306">
        <f t="shared" ca="1" si="433"/>
        <v>2.2338360532893073</v>
      </c>
      <c r="AH924" s="304">
        <f t="shared" ca="1" si="434"/>
        <v>-7.5606220437004783</v>
      </c>
    </row>
    <row r="925" spans="1:34" x14ac:dyDescent="0.2">
      <c r="A925" s="347">
        <f t="shared" ca="1" si="412"/>
        <v>1E-4</v>
      </c>
      <c r="B925" s="304">
        <f t="shared" ca="1" si="413"/>
        <v>37.718400000000834</v>
      </c>
      <c r="D925" s="306">
        <f t="shared" ca="1" si="414"/>
        <v>-0.42541897913963017</v>
      </c>
      <c r="E925" s="307">
        <f t="shared" ca="1" si="415"/>
        <v>-2.261320527967932</v>
      </c>
      <c r="F925" s="304">
        <f t="shared" ca="1" si="416"/>
        <v>2.3009893172332139</v>
      </c>
      <c r="G925" s="306">
        <f t="shared" ca="1" si="417"/>
        <v>7.4345107488538584</v>
      </c>
      <c r="H925" s="307">
        <f t="shared" ca="1" si="418"/>
        <v>-131.91972799143366</v>
      </c>
      <c r="I925" s="304">
        <f t="shared" ca="1" si="419"/>
        <v>132.12905276058203</v>
      </c>
      <c r="J925" s="306">
        <f t="shared" ca="1" si="420"/>
        <v>515.22511340180665</v>
      </c>
      <c r="K925" s="307">
        <f t="shared" ca="1" si="421"/>
        <v>-5.3346178793979906</v>
      </c>
      <c r="L925" s="304">
        <f t="shared" ca="1" si="406"/>
        <v>515.25272985965228</v>
      </c>
      <c r="M925" s="306">
        <f t="shared" ca="1" si="422"/>
        <v>-1.5144995539696764</v>
      </c>
      <c r="N925" s="304">
        <f t="shared" ca="1" si="423"/>
        <v>-86.774432516908107</v>
      </c>
      <c r="P925" s="310">
        <f t="shared" ca="1" si="424"/>
        <v>23</v>
      </c>
      <c r="Q925" s="304">
        <f t="shared" ca="1" si="425"/>
        <v>0</v>
      </c>
      <c r="R925" s="306">
        <f t="shared" ca="1" si="426"/>
        <v>0</v>
      </c>
      <c r="S925" s="307">
        <f t="shared" ca="1" si="427"/>
        <v>7.4819999999999904</v>
      </c>
      <c r="T925" s="304">
        <f t="shared" ca="1" si="407"/>
        <v>73.398419999999916</v>
      </c>
      <c r="U925" s="311">
        <f t="shared" ca="1" si="408"/>
        <v>0</v>
      </c>
      <c r="V925" s="306">
        <f t="shared" ca="1" si="409"/>
        <v>1.2256536650428875</v>
      </c>
      <c r="W925" s="304">
        <f t="shared" ca="1" si="410"/>
        <v>56.569105931075342</v>
      </c>
      <c r="Y925" s="314" t="str">
        <f t="shared" ca="1" si="428"/>
        <v/>
      </c>
      <c r="Z925" s="315" t="str">
        <f t="shared" ca="1" si="429"/>
        <v/>
      </c>
      <c r="AA925" s="316" t="str">
        <f t="shared" ca="1" si="430"/>
        <v/>
      </c>
      <c r="AC925" s="310" t="e">
        <f t="shared" ca="1" si="431"/>
        <v>#N/A</v>
      </c>
      <c r="AD925" s="323" t="e">
        <f t="shared" ca="1" si="432"/>
        <v>#N/A</v>
      </c>
      <c r="AE925" s="324" t="e">
        <f t="shared" ca="1" si="411"/>
        <v>#N/A</v>
      </c>
      <c r="AG925" s="306">
        <f t="shared" ca="1" si="433"/>
        <v>2.2338007451247357</v>
      </c>
      <c r="AH925" s="304">
        <f t="shared" ca="1" si="434"/>
        <v>-7.5606575824653337</v>
      </c>
    </row>
    <row r="926" spans="1:34" x14ac:dyDescent="0.2">
      <c r="A926" s="347">
        <f t="shared" ca="1" si="412"/>
        <v>1E-4</v>
      </c>
      <c r="B926" s="304">
        <f t="shared" ca="1" si="413"/>
        <v>37.718500000000837</v>
      </c>
      <c r="D926" s="306">
        <f t="shared" ca="1" si="414"/>
        <v>-0.42541782524141414</v>
      </c>
      <c r="E926" s="307">
        <f t="shared" ca="1" si="415"/>
        <v>-2.2612848680450766</v>
      </c>
      <c r="F926" s="304">
        <f t="shared" ca="1" si="416"/>
        <v>2.300954058751016</v>
      </c>
      <c r="G926" s="306">
        <f t="shared" ca="1" si="417"/>
        <v>7.4344682070713342</v>
      </c>
      <c r="H926" s="307">
        <f t="shared" ca="1" si="418"/>
        <v>-131.91995411992048</v>
      </c>
      <c r="I926" s="304">
        <f t="shared" ca="1" si="419"/>
        <v>132.12927613713728</v>
      </c>
      <c r="J926" s="306">
        <f t="shared" ca="1" si="420"/>
        <v>515.22511340180665</v>
      </c>
      <c r="K926" s="307">
        <f t="shared" ca="1" si="421"/>
        <v>-5.3478098635035582</v>
      </c>
      <c r="L926" s="304">
        <f t="shared" ca="1" si="406"/>
        <v>515.25286661040593</v>
      </c>
      <c r="M926" s="306">
        <f t="shared" ca="1" si="422"/>
        <v>-1.5144999717269534</v>
      </c>
      <c r="N926" s="304">
        <f t="shared" ca="1" si="423"/>
        <v>-86.774456452636926</v>
      </c>
      <c r="P926" s="310">
        <f t="shared" ca="1" si="424"/>
        <v>23</v>
      </c>
      <c r="Q926" s="304">
        <f t="shared" ca="1" si="425"/>
        <v>0</v>
      </c>
      <c r="R926" s="306">
        <f t="shared" ca="1" si="426"/>
        <v>0</v>
      </c>
      <c r="S926" s="307">
        <f t="shared" ca="1" si="427"/>
        <v>7.4819999999999904</v>
      </c>
      <c r="T926" s="304">
        <f t="shared" ca="1" si="407"/>
        <v>73.398419999999916</v>
      </c>
      <c r="U926" s="311">
        <f t="shared" ca="1" si="408"/>
        <v>0</v>
      </c>
      <c r="V926" s="306">
        <f t="shared" ca="1" si="409"/>
        <v>1.2256552819244362</v>
      </c>
      <c r="W926" s="304">
        <f t="shared" ca="1" si="410"/>
        <v>56.569371828176216</v>
      </c>
      <c r="Y926" s="314" t="str">
        <f t="shared" ca="1" si="428"/>
        <v/>
      </c>
      <c r="Z926" s="315" t="str">
        <f t="shared" ca="1" si="429"/>
        <v/>
      </c>
      <c r="AA926" s="316" t="str">
        <f t="shared" ca="1" si="430"/>
        <v/>
      </c>
      <c r="AC926" s="310" t="e">
        <f t="shared" ca="1" si="431"/>
        <v>#N/A</v>
      </c>
      <c r="AD926" s="323" t="e">
        <f t="shared" ca="1" si="432"/>
        <v>#N/A</v>
      </c>
      <c r="AE926" s="324" t="e">
        <f t="shared" ca="1" si="411"/>
        <v>#N/A</v>
      </c>
      <c r="AG926" s="306">
        <f t="shared" ca="1" si="433"/>
        <v>2.233765437219505</v>
      </c>
      <c r="AH926" s="304">
        <f t="shared" ca="1" si="434"/>
        <v>-7.5606931209670432</v>
      </c>
    </row>
    <row r="927" spans="1:34" x14ac:dyDescent="0.2">
      <c r="A927" s="347">
        <f t="shared" ca="1" si="412"/>
        <v>1E-4</v>
      </c>
      <c r="B927" s="304">
        <f t="shared" ca="1" si="413"/>
        <v>37.718600000000841</v>
      </c>
      <c r="D927" s="306">
        <f t="shared" ca="1" si="414"/>
        <v>-0.4254166713273802</v>
      </c>
      <c r="E927" s="307">
        <f t="shared" ca="1" si="415"/>
        <v>-2.2612492083862241</v>
      </c>
      <c r="F927" s="304">
        <f t="shared" ca="1" si="416"/>
        <v>2.3009188005382968</v>
      </c>
      <c r="G927" s="306">
        <f t="shared" ca="1" si="417"/>
        <v>7.4344256654042011</v>
      </c>
      <c r="H927" s="307">
        <f t="shared" ca="1" si="418"/>
        <v>-131.9201802448413</v>
      </c>
      <c r="I927" s="304">
        <f t="shared" ca="1" si="419"/>
        <v>132.12949951016176</v>
      </c>
      <c r="J927" s="306">
        <f t="shared" ca="1" si="420"/>
        <v>515.22511340180665</v>
      </c>
      <c r="K927" s="307">
        <f t="shared" ca="1" si="421"/>
        <v>-5.3610018702217968</v>
      </c>
      <c r="L927" s="304">
        <f t="shared" ca="1" si="406"/>
        <v>515.2530036991119</v>
      </c>
      <c r="M927" s="306">
        <f t="shared" ca="1" si="422"/>
        <v>-1.5145003894804276</v>
      </c>
      <c r="N927" s="304">
        <f t="shared" ca="1" si="423"/>
        <v>-86.774480388147879</v>
      </c>
      <c r="P927" s="310">
        <f t="shared" ca="1" si="424"/>
        <v>23</v>
      </c>
      <c r="Q927" s="304">
        <f t="shared" ca="1" si="425"/>
        <v>0</v>
      </c>
      <c r="R927" s="306">
        <f t="shared" ca="1" si="426"/>
        <v>0</v>
      </c>
      <c r="S927" s="307">
        <f t="shared" ca="1" si="427"/>
        <v>7.4819999999999904</v>
      </c>
      <c r="T927" s="304">
        <f t="shared" ca="1" si="407"/>
        <v>73.398419999999916</v>
      </c>
      <c r="U927" s="311">
        <f t="shared" ca="1" si="408"/>
        <v>0</v>
      </c>
      <c r="V927" s="306">
        <f t="shared" ca="1" si="409"/>
        <v>1.2256568988108898</v>
      </c>
      <c r="W927" s="304">
        <f t="shared" ca="1" si="410"/>
        <v>56.569637723308155</v>
      </c>
      <c r="Y927" s="314" t="str">
        <f t="shared" ca="1" si="428"/>
        <v/>
      </c>
      <c r="Z927" s="315" t="str">
        <f t="shared" ca="1" si="429"/>
        <v/>
      </c>
      <c r="AA927" s="316" t="str">
        <f t="shared" ca="1" si="430"/>
        <v/>
      </c>
      <c r="AC927" s="310" t="e">
        <f t="shared" ca="1" si="431"/>
        <v>#N/A</v>
      </c>
      <c r="AD927" s="323" t="e">
        <f t="shared" ca="1" si="432"/>
        <v>#N/A</v>
      </c>
      <c r="AE927" s="324" t="e">
        <f t="shared" ca="1" si="411"/>
        <v>#N/A</v>
      </c>
      <c r="AG927" s="306">
        <f t="shared" ca="1" si="433"/>
        <v>2.2337301295736145</v>
      </c>
      <c r="AH927" s="304">
        <f t="shared" ca="1" si="434"/>
        <v>-7.5607286592055987</v>
      </c>
    </row>
    <row r="928" spans="1:34" x14ac:dyDescent="0.2">
      <c r="A928" s="347">
        <f t="shared" ca="1" si="412"/>
        <v>1E-4</v>
      </c>
      <c r="B928" s="304">
        <f t="shared" ca="1" si="413"/>
        <v>37.718700000000844</v>
      </c>
      <c r="D928" s="306">
        <f t="shared" ca="1" si="414"/>
        <v>-0.42541551739752553</v>
      </c>
      <c r="E928" s="307">
        <f t="shared" ca="1" si="415"/>
        <v>-2.2612135489913729</v>
      </c>
      <c r="F928" s="304">
        <f t="shared" ca="1" si="416"/>
        <v>2.300883542595054</v>
      </c>
      <c r="G928" s="306">
        <f t="shared" ca="1" si="417"/>
        <v>7.4343831238524611</v>
      </c>
      <c r="H928" s="307">
        <f t="shared" ca="1" si="418"/>
        <v>-131.9204063661962</v>
      </c>
      <c r="I928" s="304">
        <f t="shared" ca="1" si="419"/>
        <v>132.1297228796555</v>
      </c>
      <c r="J928" s="306">
        <f t="shared" ca="1" si="420"/>
        <v>515.22511340180665</v>
      </c>
      <c r="K928" s="307">
        <f t="shared" ca="1" si="421"/>
        <v>-5.3741938995523491</v>
      </c>
      <c r="L928" s="304">
        <f t="shared" ca="1" si="406"/>
        <v>515.25314112577178</v>
      </c>
      <c r="M928" s="306">
        <f t="shared" ca="1" si="422"/>
        <v>-1.5145008072300987</v>
      </c>
      <c r="N928" s="304">
        <f t="shared" ca="1" si="423"/>
        <v>-86.774504323440937</v>
      </c>
      <c r="P928" s="310">
        <f t="shared" ca="1" si="424"/>
        <v>23</v>
      </c>
      <c r="Q928" s="304">
        <f t="shared" ca="1" si="425"/>
        <v>0</v>
      </c>
      <c r="R928" s="306">
        <f t="shared" ca="1" si="426"/>
        <v>0</v>
      </c>
      <c r="S928" s="307">
        <f t="shared" ca="1" si="427"/>
        <v>7.4819999999999904</v>
      </c>
      <c r="T928" s="304">
        <f t="shared" ca="1" si="407"/>
        <v>73.398419999999916</v>
      </c>
      <c r="U928" s="311">
        <f t="shared" ca="1" si="408"/>
        <v>0</v>
      </c>
      <c r="V928" s="306">
        <f t="shared" ca="1" si="409"/>
        <v>1.2256585157022486</v>
      </c>
      <c r="W928" s="304">
        <f t="shared" ca="1" si="410"/>
        <v>56.569903616471201</v>
      </c>
      <c r="Y928" s="314" t="str">
        <f t="shared" ca="1" si="428"/>
        <v/>
      </c>
      <c r="Z928" s="315" t="str">
        <f t="shared" ca="1" si="429"/>
        <v/>
      </c>
      <c r="AA928" s="316" t="str">
        <f t="shared" ca="1" si="430"/>
        <v/>
      </c>
      <c r="AC928" s="310" t="e">
        <f t="shared" ca="1" si="431"/>
        <v>#N/A</v>
      </c>
      <c r="AD928" s="323" t="e">
        <f t="shared" ca="1" si="432"/>
        <v>#N/A</v>
      </c>
      <c r="AE928" s="324" t="e">
        <f t="shared" ca="1" si="411"/>
        <v>#N/A</v>
      </c>
      <c r="AG928" s="306">
        <f t="shared" ca="1" si="433"/>
        <v>2.2336948221870747</v>
      </c>
      <c r="AH928" s="304">
        <f t="shared" ca="1" si="434"/>
        <v>-7.5607641971809985</v>
      </c>
    </row>
    <row r="929" spans="1:34" x14ac:dyDescent="0.2">
      <c r="A929" s="347">
        <f t="shared" ca="1" si="412"/>
        <v>1E-4</v>
      </c>
      <c r="B929" s="304">
        <f t="shared" ca="1" si="413"/>
        <v>37.718800000000847</v>
      </c>
      <c r="D929" s="306">
        <f t="shared" ca="1" si="414"/>
        <v>-0.42541436345185463</v>
      </c>
      <c r="E929" s="307">
        <f t="shared" ca="1" si="415"/>
        <v>-2.2611778898605221</v>
      </c>
      <c r="F929" s="304">
        <f t="shared" ca="1" si="416"/>
        <v>2.3008482849212877</v>
      </c>
      <c r="G929" s="306">
        <f t="shared" ca="1" si="417"/>
        <v>7.434340582416116</v>
      </c>
      <c r="H929" s="307">
        <f t="shared" ca="1" si="418"/>
        <v>-131.9206324839852</v>
      </c>
      <c r="I929" s="304">
        <f t="shared" ca="1" si="419"/>
        <v>132.12994624561856</v>
      </c>
      <c r="J929" s="306">
        <f t="shared" ca="1" si="420"/>
        <v>515.22511340180665</v>
      </c>
      <c r="K929" s="307">
        <f t="shared" ca="1" si="421"/>
        <v>-5.3873859514948581</v>
      </c>
      <c r="L929" s="304">
        <f t="shared" ca="1" si="406"/>
        <v>515.25327889038692</v>
      </c>
      <c r="M929" s="306">
        <f t="shared" ca="1" si="422"/>
        <v>-1.5145012249759671</v>
      </c>
      <c r="N929" s="304">
        <f t="shared" ca="1" si="423"/>
        <v>-86.774528258516099</v>
      </c>
      <c r="P929" s="310">
        <f t="shared" ca="1" si="424"/>
        <v>23</v>
      </c>
      <c r="Q929" s="304">
        <f t="shared" ca="1" si="425"/>
        <v>0</v>
      </c>
      <c r="R929" s="306">
        <f t="shared" ca="1" si="426"/>
        <v>0</v>
      </c>
      <c r="S929" s="307">
        <f t="shared" ca="1" si="427"/>
        <v>7.4819999999999904</v>
      </c>
      <c r="T929" s="304">
        <f t="shared" ca="1" si="407"/>
        <v>73.398419999999916</v>
      </c>
      <c r="U929" s="311">
        <f t="shared" ca="1" si="408"/>
        <v>0</v>
      </c>
      <c r="V929" s="306">
        <f t="shared" ca="1" si="409"/>
        <v>1.2256601325985124</v>
      </c>
      <c r="W929" s="304">
        <f t="shared" ca="1" si="410"/>
        <v>56.570169507665355</v>
      </c>
      <c r="Y929" s="314" t="str">
        <f t="shared" ca="1" si="428"/>
        <v/>
      </c>
      <c r="Z929" s="315" t="str">
        <f t="shared" ca="1" si="429"/>
        <v/>
      </c>
      <c r="AA929" s="316" t="str">
        <f t="shared" ca="1" si="430"/>
        <v/>
      </c>
      <c r="AC929" s="310" t="e">
        <f t="shared" ca="1" si="431"/>
        <v>#N/A</v>
      </c>
      <c r="AD929" s="323" t="e">
        <f t="shared" ca="1" si="432"/>
        <v>#N/A</v>
      </c>
      <c r="AE929" s="324" t="e">
        <f t="shared" ca="1" si="411"/>
        <v>#N/A</v>
      </c>
      <c r="AG929" s="306">
        <f t="shared" ca="1" si="433"/>
        <v>2.2336595150598777</v>
      </c>
      <c r="AH929" s="304">
        <f t="shared" ca="1" si="434"/>
        <v>-7.560799734893247</v>
      </c>
    </row>
    <row r="930" spans="1:34" x14ac:dyDescent="0.2">
      <c r="A930" s="347">
        <f t="shared" ca="1" si="412"/>
        <v>1E-4</v>
      </c>
      <c r="B930" s="304">
        <f t="shared" ca="1" si="413"/>
        <v>37.718900000000851</v>
      </c>
      <c r="D930" s="306">
        <f t="shared" ca="1" si="414"/>
        <v>-0.42541320949036482</v>
      </c>
      <c r="E930" s="307">
        <f t="shared" ca="1" si="415"/>
        <v>-2.2611422309936691</v>
      </c>
      <c r="F930" s="304">
        <f t="shared" ca="1" si="416"/>
        <v>2.3008130275169947</v>
      </c>
      <c r="G930" s="306">
        <f t="shared" ca="1" si="417"/>
        <v>7.4342980410951673</v>
      </c>
      <c r="H930" s="307">
        <f t="shared" ca="1" si="418"/>
        <v>-131.9208585982083</v>
      </c>
      <c r="I930" s="304">
        <f t="shared" ca="1" si="419"/>
        <v>132.13016960805089</v>
      </c>
      <c r="J930" s="306">
        <f t="shared" ca="1" si="420"/>
        <v>515.22511340180665</v>
      </c>
      <c r="K930" s="307">
        <f t="shared" ca="1" si="421"/>
        <v>-5.4005780260489678</v>
      </c>
      <c r="L930" s="304">
        <f t="shared" ca="1" si="406"/>
        <v>515.25341699295893</v>
      </c>
      <c r="M930" s="306">
        <f t="shared" ca="1" si="422"/>
        <v>-1.5145016427180327</v>
      </c>
      <c r="N930" s="304">
        <f t="shared" ca="1" si="423"/>
        <v>-86.774552193373381</v>
      </c>
      <c r="P930" s="310">
        <f t="shared" ca="1" si="424"/>
        <v>23</v>
      </c>
      <c r="Q930" s="304">
        <f t="shared" ca="1" si="425"/>
        <v>0</v>
      </c>
      <c r="R930" s="306">
        <f t="shared" ca="1" si="426"/>
        <v>0</v>
      </c>
      <c r="S930" s="307">
        <f t="shared" ca="1" si="427"/>
        <v>7.4819999999999904</v>
      </c>
      <c r="T930" s="304">
        <f t="shared" ca="1" si="407"/>
        <v>73.398419999999916</v>
      </c>
      <c r="U930" s="311">
        <f t="shared" ca="1" si="408"/>
        <v>0</v>
      </c>
      <c r="V930" s="306">
        <f t="shared" ca="1" si="409"/>
        <v>1.2256617494996813</v>
      </c>
      <c r="W930" s="304">
        <f t="shared" ca="1" si="410"/>
        <v>56.570435396890566</v>
      </c>
      <c r="Y930" s="314" t="str">
        <f t="shared" ca="1" si="428"/>
        <v/>
      </c>
      <c r="Z930" s="315" t="str">
        <f t="shared" ca="1" si="429"/>
        <v/>
      </c>
      <c r="AA930" s="316" t="str">
        <f t="shared" ca="1" si="430"/>
        <v/>
      </c>
      <c r="AC930" s="310" t="e">
        <f t="shared" ca="1" si="431"/>
        <v>#N/A</v>
      </c>
      <c r="AD930" s="323" t="e">
        <f t="shared" ca="1" si="432"/>
        <v>#N/A</v>
      </c>
      <c r="AE930" s="324" t="e">
        <f t="shared" ca="1" si="411"/>
        <v>#N/A</v>
      </c>
      <c r="AG930" s="306">
        <f t="shared" ca="1" si="433"/>
        <v>2.2336242081920226</v>
      </c>
      <c r="AH930" s="304">
        <f t="shared" ca="1" si="434"/>
        <v>-7.5608352723423451</v>
      </c>
    </row>
    <row r="931" spans="1:34" x14ac:dyDescent="0.2">
      <c r="A931" s="347">
        <f t="shared" ca="1" si="412"/>
        <v>1E-4</v>
      </c>
      <c r="B931" s="304">
        <f t="shared" ca="1" si="413"/>
        <v>37.719000000000854</v>
      </c>
      <c r="D931" s="306">
        <f t="shared" ca="1" si="414"/>
        <v>-0.4254120555130565</v>
      </c>
      <c r="E931" s="307">
        <f t="shared" ca="1" si="415"/>
        <v>-2.2611065723908199</v>
      </c>
      <c r="F931" s="304">
        <f t="shared" ca="1" si="416"/>
        <v>2.3007777703821826</v>
      </c>
      <c r="G931" s="306">
        <f t="shared" ca="1" si="417"/>
        <v>7.4342554998896162</v>
      </c>
      <c r="H931" s="307">
        <f t="shared" ca="1" si="418"/>
        <v>-131.92108470886555</v>
      </c>
      <c r="I931" s="304">
        <f t="shared" ca="1" si="419"/>
        <v>132.1303929669526</v>
      </c>
      <c r="J931" s="306">
        <f t="shared" ca="1" si="420"/>
        <v>515.22511340180665</v>
      </c>
      <c r="K931" s="307">
        <f t="shared" ca="1" si="421"/>
        <v>-5.4137701232143218</v>
      </c>
      <c r="L931" s="304">
        <f t="shared" ca="1" si="406"/>
        <v>515.25355543348905</v>
      </c>
      <c r="M931" s="306">
        <f t="shared" ca="1" si="422"/>
        <v>-1.5145020604562953</v>
      </c>
      <c r="N931" s="304">
        <f t="shared" ca="1" si="423"/>
        <v>-86.774576128012768</v>
      </c>
      <c r="P931" s="310">
        <f t="shared" ca="1" si="424"/>
        <v>23</v>
      </c>
      <c r="Q931" s="304">
        <f t="shared" ca="1" si="425"/>
        <v>0</v>
      </c>
      <c r="R931" s="306">
        <f t="shared" ca="1" si="426"/>
        <v>0</v>
      </c>
      <c r="S931" s="307">
        <f t="shared" ca="1" si="427"/>
        <v>7.4819999999999904</v>
      </c>
      <c r="T931" s="304">
        <f t="shared" ca="1" si="407"/>
        <v>73.398419999999916</v>
      </c>
      <c r="U931" s="311">
        <f t="shared" ca="1" si="408"/>
        <v>0</v>
      </c>
      <c r="V931" s="306">
        <f t="shared" ca="1" si="409"/>
        <v>1.2256633664057552</v>
      </c>
      <c r="W931" s="304">
        <f t="shared" ca="1" si="410"/>
        <v>56.570701284146907</v>
      </c>
      <c r="Y931" s="314" t="str">
        <f t="shared" ca="1" si="428"/>
        <v/>
      </c>
      <c r="Z931" s="315" t="str">
        <f t="shared" ca="1" si="429"/>
        <v/>
      </c>
      <c r="AA931" s="316" t="str">
        <f t="shared" ca="1" si="430"/>
        <v/>
      </c>
      <c r="AC931" s="310" t="e">
        <f t="shared" ca="1" si="431"/>
        <v>#N/A</v>
      </c>
      <c r="AD931" s="323" t="e">
        <f t="shared" ca="1" si="432"/>
        <v>#N/A</v>
      </c>
      <c r="AE931" s="324" t="e">
        <f t="shared" ca="1" si="411"/>
        <v>#N/A</v>
      </c>
      <c r="AG931" s="306">
        <f t="shared" ca="1" si="433"/>
        <v>2.2335889015835138</v>
      </c>
      <c r="AH931" s="304">
        <f t="shared" ca="1" si="434"/>
        <v>-7.5608708095282866</v>
      </c>
    </row>
    <row r="932" spans="1:34" x14ac:dyDescent="0.2">
      <c r="A932" s="347">
        <f t="shared" ca="1" si="412"/>
        <v>1E-4</v>
      </c>
      <c r="B932" s="304">
        <f t="shared" ca="1" si="413"/>
        <v>37.719100000000857</v>
      </c>
      <c r="D932" s="306">
        <f t="shared" ca="1" si="414"/>
        <v>-0.42541090151993255</v>
      </c>
      <c r="E932" s="307">
        <f t="shared" ca="1" si="415"/>
        <v>-2.2610709140519667</v>
      </c>
      <c r="F932" s="304">
        <f t="shared" ca="1" si="416"/>
        <v>2.3007425135168424</v>
      </c>
      <c r="G932" s="306">
        <f t="shared" ca="1" si="417"/>
        <v>7.4342129587994643</v>
      </c>
      <c r="H932" s="307">
        <f t="shared" ca="1" si="418"/>
        <v>-131.92131081595696</v>
      </c>
      <c r="I932" s="304">
        <f t="shared" ca="1" si="419"/>
        <v>132.13061632232368</v>
      </c>
      <c r="J932" s="306">
        <f t="shared" ca="1" si="420"/>
        <v>515.22511340180665</v>
      </c>
      <c r="K932" s="307">
        <f t="shared" ca="1" si="421"/>
        <v>-5.4269622429905633</v>
      </c>
      <c r="L932" s="304">
        <f t="shared" ca="1" si="406"/>
        <v>515.25369421197888</v>
      </c>
      <c r="M932" s="306">
        <f t="shared" ca="1" si="422"/>
        <v>-1.5145024781907552</v>
      </c>
      <c r="N932" s="304">
        <f t="shared" ca="1" si="423"/>
        <v>-86.774600062434274</v>
      </c>
      <c r="P932" s="310">
        <f t="shared" ca="1" si="424"/>
        <v>23</v>
      </c>
      <c r="Q932" s="304">
        <f t="shared" ca="1" si="425"/>
        <v>0</v>
      </c>
      <c r="R932" s="306">
        <f t="shared" ca="1" si="426"/>
        <v>0</v>
      </c>
      <c r="S932" s="307">
        <f t="shared" ca="1" si="427"/>
        <v>7.4819999999999904</v>
      </c>
      <c r="T932" s="304">
        <f t="shared" ca="1" si="407"/>
        <v>73.398419999999916</v>
      </c>
      <c r="U932" s="311">
        <f t="shared" ca="1" si="408"/>
        <v>0</v>
      </c>
      <c r="V932" s="306">
        <f t="shared" ca="1" si="409"/>
        <v>1.2256649833167339</v>
      </c>
      <c r="W932" s="304">
        <f t="shared" ca="1" si="410"/>
        <v>56.570967169434311</v>
      </c>
      <c r="Y932" s="314" t="str">
        <f t="shared" ca="1" si="428"/>
        <v/>
      </c>
      <c r="Z932" s="315" t="str">
        <f t="shared" ca="1" si="429"/>
        <v/>
      </c>
      <c r="AA932" s="316" t="str">
        <f t="shared" ca="1" si="430"/>
        <v/>
      </c>
      <c r="AC932" s="310" t="e">
        <f t="shared" ca="1" si="431"/>
        <v>#N/A</v>
      </c>
      <c r="AD932" s="323" t="e">
        <f t="shared" ca="1" si="432"/>
        <v>#N/A</v>
      </c>
      <c r="AE932" s="324" t="e">
        <f t="shared" ca="1" si="411"/>
        <v>#N/A</v>
      </c>
      <c r="AG932" s="306">
        <f t="shared" ca="1" si="433"/>
        <v>2.2335535952343486</v>
      </c>
      <c r="AH932" s="304">
        <f t="shared" ca="1" si="434"/>
        <v>-7.5609063464510795</v>
      </c>
    </row>
    <row r="933" spans="1:34" x14ac:dyDescent="0.2">
      <c r="A933" s="347">
        <f t="shared" ca="1" si="412"/>
        <v>1E-4</v>
      </c>
      <c r="B933" s="304">
        <f t="shared" ca="1" si="413"/>
        <v>37.71920000000086</v>
      </c>
      <c r="D933" s="306">
        <f t="shared" ca="1" si="414"/>
        <v>-0.42540974751099164</v>
      </c>
      <c r="E933" s="307">
        <f t="shared" ca="1" si="415"/>
        <v>-2.2610352559771174</v>
      </c>
      <c r="F933" s="304">
        <f t="shared" ca="1" si="416"/>
        <v>2.3007072569209832</v>
      </c>
      <c r="G933" s="306">
        <f t="shared" ca="1" si="417"/>
        <v>7.4341704178247134</v>
      </c>
      <c r="H933" s="307">
        <f t="shared" ca="1" si="418"/>
        <v>-131.92153691948255</v>
      </c>
      <c r="I933" s="304">
        <f t="shared" ca="1" si="419"/>
        <v>132.13083967416409</v>
      </c>
      <c r="J933" s="306">
        <f t="shared" ca="1" si="420"/>
        <v>515.22511340180665</v>
      </c>
      <c r="K933" s="307">
        <f t="shared" ca="1" si="421"/>
        <v>-5.4401543853773351</v>
      </c>
      <c r="L933" s="304">
        <f t="shared" ca="1" si="406"/>
        <v>515.25383332842978</v>
      </c>
      <c r="M933" s="306">
        <f t="shared" ca="1" si="422"/>
        <v>-1.5145028959214126</v>
      </c>
      <c r="N933" s="304">
        <f t="shared" ca="1" si="423"/>
        <v>-86.774623996637928</v>
      </c>
      <c r="P933" s="310">
        <f t="shared" ca="1" si="424"/>
        <v>23</v>
      </c>
      <c r="Q933" s="304">
        <f t="shared" ca="1" si="425"/>
        <v>0</v>
      </c>
      <c r="R933" s="306">
        <f t="shared" ca="1" si="426"/>
        <v>0</v>
      </c>
      <c r="S933" s="307">
        <f t="shared" ca="1" si="427"/>
        <v>7.4819999999999904</v>
      </c>
      <c r="T933" s="304">
        <f t="shared" ca="1" si="407"/>
        <v>73.398419999999916</v>
      </c>
      <c r="U933" s="311">
        <f t="shared" ca="1" si="408"/>
        <v>0</v>
      </c>
      <c r="V933" s="306">
        <f t="shared" ca="1" si="409"/>
        <v>1.2256666002326178</v>
      </c>
      <c r="W933" s="304">
        <f t="shared" ca="1" si="410"/>
        <v>56.57123305275276</v>
      </c>
      <c r="Y933" s="314" t="str">
        <f t="shared" ca="1" si="428"/>
        <v/>
      </c>
      <c r="Z933" s="315" t="str">
        <f t="shared" ca="1" si="429"/>
        <v/>
      </c>
      <c r="AA933" s="316" t="str">
        <f t="shared" ca="1" si="430"/>
        <v/>
      </c>
      <c r="AC933" s="310" t="e">
        <f t="shared" ca="1" si="431"/>
        <v>#N/A</v>
      </c>
      <c r="AD933" s="323" t="e">
        <f t="shared" ca="1" si="432"/>
        <v>#N/A</v>
      </c>
      <c r="AE933" s="324" t="e">
        <f t="shared" ca="1" si="411"/>
        <v>#N/A</v>
      </c>
      <c r="AG933" s="306">
        <f t="shared" ca="1" si="433"/>
        <v>2.2335182891445289</v>
      </c>
      <c r="AH933" s="304">
        <f t="shared" ca="1" si="434"/>
        <v>-7.5609418831107167</v>
      </c>
    </row>
    <row r="934" spans="1:34" x14ac:dyDescent="0.2">
      <c r="A934" s="347">
        <f t="shared" ca="1" si="412"/>
        <v>1E-4</v>
      </c>
      <c r="B934" s="304">
        <f t="shared" ca="1" si="413"/>
        <v>37.719300000000864</v>
      </c>
      <c r="D934" s="306">
        <f t="shared" ca="1" si="414"/>
        <v>-0.42540859348623261</v>
      </c>
      <c r="E934" s="307">
        <f t="shared" ca="1" si="415"/>
        <v>-2.2609995981662756</v>
      </c>
      <c r="F934" s="304">
        <f t="shared" ca="1" si="416"/>
        <v>2.300672000594608</v>
      </c>
      <c r="G934" s="306">
        <f t="shared" ca="1" si="417"/>
        <v>7.4341278769653645</v>
      </c>
      <c r="H934" s="307">
        <f t="shared" ca="1" si="418"/>
        <v>-131.92176301944235</v>
      </c>
      <c r="I934" s="304">
        <f t="shared" ca="1" si="419"/>
        <v>132.13106302247394</v>
      </c>
      <c r="J934" s="306">
        <f t="shared" ca="1" si="420"/>
        <v>515.22511340180665</v>
      </c>
      <c r="K934" s="307">
        <f t="shared" ca="1" si="421"/>
        <v>-5.4533465503742811</v>
      </c>
      <c r="L934" s="304">
        <f t="shared" ca="1" si="406"/>
        <v>515.25397278284333</v>
      </c>
      <c r="M934" s="306">
        <f t="shared" ca="1" si="422"/>
        <v>-1.5145033136482673</v>
      </c>
      <c r="N934" s="304">
        <f t="shared" ca="1" si="423"/>
        <v>-86.774647930623686</v>
      </c>
      <c r="P934" s="310">
        <f t="shared" ca="1" si="424"/>
        <v>23</v>
      </c>
      <c r="Q934" s="304">
        <f t="shared" ca="1" si="425"/>
        <v>0</v>
      </c>
      <c r="R934" s="306">
        <f t="shared" ca="1" si="426"/>
        <v>0</v>
      </c>
      <c r="S934" s="307">
        <f t="shared" ca="1" si="427"/>
        <v>7.4819999999999904</v>
      </c>
      <c r="T934" s="304">
        <f t="shared" ca="1" si="407"/>
        <v>73.398419999999916</v>
      </c>
      <c r="U934" s="311">
        <f t="shared" ca="1" si="408"/>
        <v>0</v>
      </c>
      <c r="V934" s="306">
        <f t="shared" ca="1" si="409"/>
        <v>1.2256682171534063</v>
      </c>
      <c r="W934" s="304">
        <f t="shared" ca="1" si="410"/>
        <v>56.571498934102301</v>
      </c>
      <c r="Y934" s="314" t="str">
        <f t="shared" ca="1" si="428"/>
        <v/>
      </c>
      <c r="Z934" s="315" t="str">
        <f t="shared" ca="1" si="429"/>
        <v/>
      </c>
      <c r="AA934" s="316" t="str">
        <f t="shared" ca="1" si="430"/>
        <v/>
      </c>
      <c r="AC934" s="310" t="e">
        <f t="shared" ca="1" si="431"/>
        <v>#N/A</v>
      </c>
      <c r="AD934" s="323" t="e">
        <f t="shared" ca="1" si="432"/>
        <v>#N/A</v>
      </c>
      <c r="AE934" s="324" t="e">
        <f t="shared" ca="1" si="411"/>
        <v>#N/A</v>
      </c>
      <c r="AG934" s="306">
        <f t="shared" ca="1" si="433"/>
        <v>2.2334829833140599</v>
      </c>
      <c r="AH934" s="304">
        <f t="shared" ca="1" si="434"/>
        <v>-7.5609774195071946</v>
      </c>
    </row>
    <row r="935" spans="1:34" x14ac:dyDescent="0.2">
      <c r="A935" s="347">
        <f t="shared" ca="1" si="412"/>
        <v>1E-4</v>
      </c>
      <c r="B935" s="304">
        <f t="shared" ca="1" si="413"/>
        <v>37.719400000000867</v>
      </c>
      <c r="D935" s="306">
        <f t="shared" ca="1" si="414"/>
        <v>-0.42540743944565829</v>
      </c>
      <c r="E935" s="307">
        <f t="shared" ca="1" si="415"/>
        <v>-2.2609639406194333</v>
      </c>
      <c r="F935" s="304">
        <f t="shared" ca="1" si="416"/>
        <v>2.3006367445377087</v>
      </c>
      <c r="G935" s="306">
        <f t="shared" ca="1" si="417"/>
        <v>7.4340853362214201</v>
      </c>
      <c r="H935" s="307">
        <f t="shared" ca="1" si="418"/>
        <v>-131.92198911583642</v>
      </c>
      <c r="I935" s="304">
        <f t="shared" ca="1" si="419"/>
        <v>132.13128636725327</v>
      </c>
      <c r="J935" s="306">
        <f t="shared" ca="1" si="420"/>
        <v>515.22511340180665</v>
      </c>
      <c r="K935" s="307">
        <f t="shared" ca="1" si="421"/>
        <v>-5.4665387379810451</v>
      </c>
      <c r="L935" s="304">
        <f t="shared" ca="1" si="406"/>
        <v>515.25411257522092</v>
      </c>
      <c r="M935" s="306">
        <f t="shared" ca="1" si="422"/>
        <v>-1.5145037313713194</v>
      </c>
      <c r="N935" s="304">
        <f t="shared" ca="1" si="423"/>
        <v>-86.774671864391578</v>
      </c>
      <c r="P935" s="310">
        <f t="shared" ca="1" si="424"/>
        <v>23</v>
      </c>
      <c r="Q935" s="304">
        <f t="shared" ca="1" si="425"/>
        <v>0</v>
      </c>
      <c r="R935" s="306">
        <f t="shared" ca="1" si="426"/>
        <v>0</v>
      </c>
      <c r="S935" s="307">
        <f t="shared" ca="1" si="427"/>
        <v>7.4819999999999904</v>
      </c>
      <c r="T935" s="304">
        <f t="shared" ca="1" si="407"/>
        <v>73.398419999999916</v>
      </c>
      <c r="U935" s="311">
        <f t="shared" ca="1" si="408"/>
        <v>0</v>
      </c>
      <c r="V935" s="306">
        <f t="shared" ca="1" si="409"/>
        <v>1.2256698340791001</v>
      </c>
      <c r="W935" s="304">
        <f t="shared" ca="1" si="410"/>
        <v>56.571764813482964</v>
      </c>
      <c r="Y935" s="314" t="str">
        <f t="shared" ca="1" si="428"/>
        <v/>
      </c>
      <c r="Z935" s="315" t="str">
        <f t="shared" ca="1" si="429"/>
        <v/>
      </c>
      <c r="AA935" s="316" t="str">
        <f t="shared" ca="1" si="430"/>
        <v/>
      </c>
      <c r="AC935" s="310" t="e">
        <f t="shared" ca="1" si="431"/>
        <v>#N/A</v>
      </c>
      <c r="AD935" s="323" t="e">
        <f t="shared" ca="1" si="432"/>
        <v>#N/A</v>
      </c>
      <c r="AE935" s="324" t="e">
        <f t="shared" ca="1" si="411"/>
        <v>#N/A</v>
      </c>
      <c r="AG935" s="306">
        <f t="shared" ca="1" si="433"/>
        <v>2.2334476777429364</v>
      </c>
      <c r="AH935" s="304">
        <f t="shared" ca="1" si="434"/>
        <v>-7.5610129556405203</v>
      </c>
    </row>
    <row r="936" spans="1:34" x14ac:dyDescent="0.2">
      <c r="A936" s="347">
        <f t="shared" ca="1" si="412"/>
        <v>1E-4</v>
      </c>
      <c r="B936" s="304">
        <f t="shared" ca="1" si="413"/>
        <v>37.71950000000087</v>
      </c>
      <c r="D936" s="306">
        <f t="shared" ca="1" si="414"/>
        <v>-0.42540628538926789</v>
      </c>
      <c r="E936" s="307">
        <f t="shared" ca="1" si="415"/>
        <v>-2.2609282833365869</v>
      </c>
      <c r="F936" s="304">
        <f t="shared" ca="1" si="416"/>
        <v>2.3006014887502833</v>
      </c>
      <c r="G936" s="306">
        <f t="shared" ca="1" si="417"/>
        <v>7.4340427955928812</v>
      </c>
      <c r="H936" s="307">
        <f t="shared" ca="1" si="418"/>
        <v>-131.92221520866477</v>
      </c>
      <c r="I936" s="304">
        <f t="shared" ca="1" si="419"/>
        <v>132.13150970850205</v>
      </c>
      <c r="J936" s="306">
        <f t="shared" ca="1" si="420"/>
        <v>515.22511340180665</v>
      </c>
      <c r="K936" s="307">
        <f t="shared" ca="1" si="421"/>
        <v>-5.47973094819727</v>
      </c>
      <c r="L936" s="304">
        <f t="shared" ca="1" si="406"/>
        <v>515.254252705564</v>
      </c>
      <c r="M936" s="306">
        <f t="shared" ca="1" si="422"/>
        <v>-1.5145041490905691</v>
      </c>
      <c r="N936" s="304">
        <f t="shared" ca="1" si="423"/>
        <v>-86.774695797941604</v>
      </c>
      <c r="P936" s="310">
        <f t="shared" ca="1" si="424"/>
        <v>23</v>
      </c>
      <c r="Q936" s="304">
        <f t="shared" ca="1" si="425"/>
        <v>0</v>
      </c>
      <c r="R936" s="306">
        <f t="shared" ca="1" si="426"/>
        <v>0</v>
      </c>
      <c r="S936" s="307">
        <f t="shared" ca="1" si="427"/>
        <v>7.4819999999999904</v>
      </c>
      <c r="T936" s="304">
        <f t="shared" ca="1" si="407"/>
        <v>73.398419999999916</v>
      </c>
      <c r="U936" s="311">
        <f t="shared" ca="1" si="408"/>
        <v>0</v>
      </c>
      <c r="V936" s="306">
        <f t="shared" ca="1" si="409"/>
        <v>1.2256714510096982</v>
      </c>
      <c r="W936" s="304">
        <f t="shared" ca="1" si="410"/>
        <v>56.57203069089465</v>
      </c>
      <c r="Y936" s="314" t="str">
        <f t="shared" ca="1" si="428"/>
        <v/>
      </c>
      <c r="Z936" s="315" t="str">
        <f t="shared" ca="1" si="429"/>
        <v/>
      </c>
      <c r="AA936" s="316" t="str">
        <f t="shared" ca="1" si="430"/>
        <v/>
      </c>
      <c r="AC936" s="310" t="e">
        <f t="shared" ca="1" si="431"/>
        <v>#N/A</v>
      </c>
      <c r="AD936" s="323" t="e">
        <f t="shared" ca="1" si="432"/>
        <v>#N/A</v>
      </c>
      <c r="AE936" s="324" t="e">
        <f t="shared" ca="1" si="411"/>
        <v>#N/A</v>
      </c>
      <c r="AG936" s="306">
        <f t="shared" ca="1" si="433"/>
        <v>2.233412372431153</v>
      </c>
      <c r="AH936" s="304">
        <f t="shared" ca="1" si="434"/>
        <v>-7.5610484915106975</v>
      </c>
    </row>
    <row r="937" spans="1:34" x14ac:dyDescent="0.2">
      <c r="A937" s="347">
        <f t="shared" ca="1" si="412"/>
        <v>1E-4</v>
      </c>
      <c r="B937" s="304">
        <f t="shared" ca="1" si="413"/>
        <v>37.719600000000874</v>
      </c>
      <c r="D937" s="306">
        <f t="shared" ca="1" si="414"/>
        <v>-0.42540513131706137</v>
      </c>
      <c r="E937" s="307">
        <f t="shared" ca="1" si="415"/>
        <v>-2.2608926263177516</v>
      </c>
      <c r="F937" s="304">
        <f t="shared" ca="1" si="416"/>
        <v>2.3005662332323467</v>
      </c>
      <c r="G937" s="306">
        <f t="shared" ca="1" si="417"/>
        <v>7.4340002550797495</v>
      </c>
      <c r="H937" s="307">
        <f t="shared" ca="1" si="418"/>
        <v>-131.92244129792741</v>
      </c>
      <c r="I937" s="304">
        <f t="shared" ca="1" si="419"/>
        <v>132.13173304622032</v>
      </c>
      <c r="J937" s="306">
        <f t="shared" ca="1" si="420"/>
        <v>515.22511340180665</v>
      </c>
      <c r="K937" s="307">
        <f t="shared" ca="1" si="421"/>
        <v>-5.4929231810225998</v>
      </c>
      <c r="L937" s="304">
        <f t="shared" ca="1" si="406"/>
        <v>515.25439317387395</v>
      </c>
      <c r="M937" s="306">
        <f t="shared" ca="1" si="422"/>
        <v>-1.5145045668060162</v>
      </c>
      <c r="N937" s="304">
        <f t="shared" ca="1" si="423"/>
        <v>-86.774719731273763</v>
      </c>
      <c r="P937" s="310">
        <f t="shared" ca="1" si="424"/>
        <v>23</v>
      </c>
      <c r="Q937" s="304">
        <f t="shared" ca="1" si="425"/>
        <v>0</v>
      </c>
      <c r="R937" s="306">
        <f t="shared" ca="1" si="426"/>
        <v>0</v>
      </c>
      <c r="S937" s="307">
        <f t="shared" ca="1" si="427"/>
        <v>7.4819999999999904</v>
      </c>
      <c r="T937" s="304">
        <f t="shared" ca="1" si="407"/>
        <v>73.398419999999916</v>
      </c>
      <c r="U937" s="311">
        <f t="shared" ca="1" si="408"/>
        <v>0</v>
      </c>
      <c r="V937" s="306">
        <f t="shared" ca="1" si="409"/>
        <v>1.2256730679452013</v>
      </c>
      <c r="W937" s="304">
        <f t="shared" ca="1" si="410"/>
        <v>56.572296566337407</v>
      </c>
      <c r="Y937" s="314" t="str">
        <f t="shared" ca="1" si="428"/>
        <v/>
      </c>
      <c r="Z937" s="315" t="str">
        <f t="shared" ca="1" si="429"/>
        <v/>
      </c>
      <c r="AA937" s="316" t="str">
        <f t="shared" ca="1" si="430"/>
        <v/>
      </c>
      <c r="AC937" s="310" t="e">
        <f t="shared" ca="1" si="431"/>
        <v>#N/A</v>
      </c>
      <c r="AD937" s="323" t="e">
        <f t="shared" ca="1" si="432"/>
        <v>#N/A</v>
      </c>
      <c r="AE937" s="324" t="e">
        <f t="shared" ca="1" si="411"/>
        <v>#N/A</v>
      </c>
      <c r="AG937" s="306">
        <f t="shared" ca="1" si="433"/>
        <v>2.2333770673787274</v>
      </c>
      <c r="AH937" s="304">
        <f t="shared" ca="1" si="434"/>
        <v>-7.5610840271177118</v>
      </c>
    </row>
    <row r="938" spans="1:34" x14ac:dyDescent="0.2">
      <c r="A938" s="347">
        <f t="shared" ca="1" si="412"/>
        <v>1E-4</v>
      </c>
      <c r="B938" s="304">
        <f t="shared" ca="1" si="413"/>
        <v>37.719700000000877</v>
      </c>
      <c r="D938" s="306">
        <f t="shared" ca="1" si="414"/>
        <v>-0.42540397722904</v>
      </c>
      <c r="E938" s="307">
        <f t="shared" ca="1" si="415"/>
        <v>-2.2608569695629175</v>
      </c>
      <c r="F938" s="304">
        <f t="shared" ca="1" si="416"/>
        <v>2.3005309779838883</v>
      </c>
      <c r="G938" s="306">
        <f t="shared" ca="1" si="417"/>
        <v>7.4339577146820268</v>
      </c>
      <c r="H938" s="307">
        <f t="shared" ca="1" si="418"/>
        <v>-131.92266738362437</v>
      </c>
      <c r="I938" s="304">
        <f t="shared" ca="1" si="419"/>
        <v>132.1319563804081</v>
      </c>
      <c r="J938" s="306">
        <f t="shared" ca="1" si="420"/>
        <v>515.22511340180665</v>
      </c>
      <c r="K938" s="307">
        <f t="shared" ca="1" si="421"/>
        <v>-5.5061154364566773</v>
      </c>
      <c r="L938" s="304">
        <f t="shared" ca="1" si="406"/>
        <v>515.25453398015247</v>
      </c>
      <c r="M938" s="306">
        <f t="shared" ca="1" si="422"/>
        <v>-1.514504984517661</v>
      </c>
      <c r="N938" s="304">
        <f t="shared" ca="1" si="423"/>
        <v>-86.774743664388069</v>
      </c>
      <c r="P938" s="310">
        <f t="shared" ca="1" si="424"/>
        <v>23</v>
      </c>
      <c r="Q938" s="304">
        <f t="shared" ca="1" si="425"/>
        <v>0</v>
      </c>
      <c r="R938" s="306">
        <f t="shared" ca="1" si="426"/>
        <v>0</v>
      </c>
      <c r="S938" s="307">
        <f t="shared" ca="1" si="427"/>
        <v>7.4819999999999904</v>
      </c>
      <c r="T938" s="304">
        <f t="shared" ca="1" si="407"/>
        <v>73.398419999999916</v>
      </c>
      <c r="U938" s="311">
        <f t="shared" ca="1" si="408"/>
        <v>0</v>
      </c>
      <c r="V938" s="306">
        <f t="shared" ca="1" si="409"/>
        <v>1.2256746848856093</v>
      </c>
      <c r="W938" s="304">
        <f t="shared" ca="1" si="410"/>
        <v>56.572562439811222</v>
      </c>
      <c r="Y938" s="314" t="str">
        <f t="shared" ca="1" si="428"/>
        <v/>
      </c>
      <c r="Z938" s="315" t="str">
        <f t="shared" ca="1" si="429"/>
        <v/>
      </c>
      <c r="AA938" s="316" t="str">
        <f t="shared" ca="1" si="430"/>
        <v/>
      </c>
      <c r="AC938" s="310" t="e">
        <f t="shared" ca="1" si="431"/>
        <v>#N/A</v>
      </c>
      <c r="AD938" s="323" t="e">
        <f t="shared" ca="1" si="432"/>
        <v>#N/A</v>
      </c>
      <c r="AE938" s="324" t="e">
        <f t="shared" ca="1" si="411"/>
        <v>#N/A</v>
      </c>
      <c r="AG938" s="306">
        <f t="shared" ca="1" si="433"/>
        <v>2.2333417625856447</v>
      </c>
      <c r="AH938" s="304">
        <f t="shared" ca="1" si="434"/>
        <v>-7.5611195624615712</v>
      </c>
    </row>
    <row r="939" spans="1:34" x14ac:dyDescent="0.2">
      <c r="A939" s="347">
        <f t="shared" ca="1" si="412"/>
        <v>1E-4</v>
      </c>
      <c r="B939" s="304">
        <f t="shared" ca="1" si="413"/>
        <v>37.71980000000088</v>
      </c>
      <c r="D939" s="306">
        <f t="shared" ca="1" si="414"/>
        <v>-0.42540282312520261</v>
      </c>
      <c r="E939" s="307">
        <f t="shared" ca="1" si="415"/>
        <v>-2.2608213130720891</v>
      </c>
      <c r="F939" s="304">
        <f t="shared" ca="1" si="416"/>
        <v>2.300495723004913</v>
      </c>
      <c r="G939" s="306">
        <f t="shared" ca="1" si="417"/>
        <v>7.4339151743997141</v>
      </c>
      <c r="H939" s="307">
        <f t="shared" ca="1" si="418"/>
        <v>-131.92289346575569</v>
      </c>
      <c r="I939" s="304">
        <f t="shared" ca="1" si="419"/>
        <v>132.13217971106545</v>
      </c>
      <c r="J939" s="306">
        <f t="shared" ca="1" si="420"/>
        <v>515.22511340180665</v>
      </c>
      <c r="K939" s="307">
        <f t="shared" ca="1" si="421"/>
        <v>-5.5193077144991465</v>
      </c>
      <c r="L939" s="304">
        <f t="shared" ca="1" si="406"/>
        <v>515.25467512440082</v>
      </c>
      <c r="M939" s="306">
        <f t="shared" ca="1" si="422"/>
        <v>-1.5145054022255033</v>
      </c>
      <c r="N939" s="304">
        <f t="shared" ca="1" si="423"/>
        <v>-86.774767597284495</v>
      </c>
      <c r="P939" s="310">
        <f t="shared" ca="1" si="424"/>
        <v>23</v>
      </c>
      <c r="Q939" s="304">
        <f t="shared" ca="1" si="425"/>
        <v>0</v>
      </c>
      <c r="R939" s="306">
        <f t="shared" ca="1" si="426"/>
        <v>0</v>
      </c>
      <c r="S939" s="307">
        <f t="shared" ca="1" si="427"/>
        <v>7.4819999999999904</v>
      </c>
      <c r="T939" s="304">
        <f t="shared" ca="1" si="407"/>
        <v>73.398419999999916</v>
      </c>
      <c r="U939" s="311">
        <f t="shared" ca="1" si="408"/>
        <v>0</v>
      </c>
      <c r="V939" s="306">
        <f t="shared" ca="1" si="409"/>
        <v>1.2256763018309216</v>
      </c>
      <c r="W939" s="304">
        <f t="shared" ca="1" si="410"/>
        <v>56.572828311316108</v>
      </c>
      <c r="Y939" s="314" t="str">
        <f t="shared" ca="1" si="428"/>
        <v/>
      </c>
      <c r="Z939" s="315" t="str">
        <f t="shared" ca="1" si="429"/>
        <v/>
      </c>
      <c r="AA939" s="316" t="str">
        <f t="shared" ca="1" si="430"/>
        <v/>
      </c>
      <c r="AC939" s="310" t="e">
        <f t="shared" ca="1" si="431"/>
        <v>#N/A</v>
      </c>
      <c r="AD939" s="323" t="e">
        <f t="shared" ca="1" si="432"/>
        <v>#N/A</v>
      </c>
      <c r="AE939" s="324" t="e">
        <f t="shared" ca="1" si="411"/>
        <v>#N/A</v>
      </c>
      <c r="AG939" s="306">
        <f t="shared" ca="1" si="433"/>
        <v>2.2333064580519135</v>
      </c>
      <c r="AH939" s="304">
        <f t="shared" ca="1" si="434"/>
        <v>-7.5611550975422741</v>
      </c>
    </row>
    <row r="940" spans="1:34" x14ac:dyDescent="0.2">
      <c r="A940" s="347">
        <f t="shared" ca="1" si="412"/>
        <v>1E-4</v>
      </c>
      <c r="B940" s="304">
        <f t="shared" ca="1" si="413"/>
        <v>37.719900000000884</v>
      </c>
      <c r="D940" s="306">
        <f t="shared" ca="1" si="414"/>
        <v>-0.42540166900555171</v>
      </c>
      <c r="E940" s="307">
        <f t="shared" ca="1" si="415"/>
        <v>-2.2607856568452638</v>
      </c>
      <c r="F940" s="304">
        <f t="shared" ca="1" si="416"/>
        <v>2.3004604682954191</v>
      </c>
      <c r="G940" s="306">
        <f t="shared" ca="1" si="417"/>
        <v>7.4338726342328139</v>
      </c>
      <c r="H940" s="307">
        <f t="shared" ca="1" si="418"/>
        <v>-131.92311954432137</v>
      </c>
      <c r="I940" s="304">
        <f t="shared" ca="1" si="419"/>
        <v>132.13240303819234</v>
      </c>
      <c r="J940" s="306">
        <f t="shared" ca="1" si="420"/>
        <v>515.22511340180665</v>
      </c>
      <c r="K940" s="307">
        <f t="shared" ca="1" si="421"/>
        <v>-5.5325000151496502</v>
      </c>
      <c r="L940" s="304">
        <f t="shared" ca="1" si="406"/>
        <v>515.25481660662058</v>
      </c>
      <c r="M940" s="306">
        <f t="shared" ca="1" si="422"/>
        <v>-1.5145058199295436</v>
      </c>
      <c r="N940" s="304">
        <f t="shared" ca="1" si="423"/>
        <v>-86.774791529963082</v>
      </c>
      <c r="P940" s="310">
        <f t="shared" ca="1" si="424"/>
        <v>23</v>
      </c>
      <c r="Q940" s="304">
        <f t="shared" ca="1" si="425"/>
        <v>0</v>
      </c>
      <c r="R940" s="306">
        <f t="shared" ca="1" si="426"/>
        <v>0</v>
      </c>
      <c r="S940" s="307">
        <f t="shared" ca="1" si="427"/>
        <v>7.4819999999999904</v>
      </c>
      <c r="T940" s="304">
        <f t="shared" ca="1" si="407"/>
        <v>73.398419999999916</v>
      </c>
      <c r="U940" s="311">
        <f t="shared" ca="1" si="408"/>
        <v>0</v>
      </c>
      <c r="V940" s="306">
        <f t="shared" ca="1" si="409"/>
        <v>1.2256779187811393</v>
      </c>
      <c r="W940" s="304">
        <f t="shared" ca="1" si="410"/>
        <v>56.573094180852046</v>
      </c>
      <c r="Y940" s="314" t="str">
        <f t="shared" ca="1" si="428"/>
        <v/>
      </c>
      <c r="Z940" s="315" t="str">
        <f t="shared" ca="1" si="429"/>
        <v/>
      </c>
      <c r="AA940" s="316" t="str">
        <f t="shared" ca="1" si="430"/>
        <v/>
      </c>
      <c r="AC940" s="310" t="e">
        <f t="shared" ca="1" si="431"/>
        <v>#N/A</v>
      </c>
      <c r="AD940" s="323" t="e">
        <f t="shared" ca="1" si="432"/>
        <v>#N/A</v>
      </c>
      <c r="AE940" s="324" t="e">
        <f t="shared" ca="1" si="411"/>
        <v>#N/A</v>
      </c>
      <c r="AG940" s="306">
        <f t="shared" ca="1" si="433"/>
        <v>2.2332711537775278</v>
      </c>
      <c r="AH940" s="304">
        <f t="shared" ca="1" si="434"/>
        <v>-7.5611906323598213</v>
      </c>
    </row>
    <row r="941" spans="1:34" x14ac:dyDescent="0.2">
      <c r="A941" s="347">
        <f t="shared" ca="1" si="412"/>
        <v>1E-4</v>
      </c>
      <c r="B941" s="304">
        <f t="shared" ca="1" si="413"/>
        <v>37.720000000000887</v>
      </c>
      <c r="D941" s="306">
        <f t="shared" ca="1" si="414"/>
        <v>-0.42540051487008462</v>
      </c>
      <c r="E941" s="307">
        <f t="shared" ca="1" si="415"/>
        <v>-2.260750000882445</v>
      </c>
      <c r="F941" s="304">
        <f t="shared" ca="1" si="416"/>
        <v>2.30042521385541</v>
      </c>
      <c r="G941" s="306">
        <f t="shared" ca="1" si="417"/>
        <v>7.4338300941813271</v>
      </c>
      <c r="H941" s="307">
        <f t="shared" ca="1" si="418"/>
        <v>-131.92334561932145</v>
      </c>
      <c r="I941" s="304">
        <f t="shared" ca="1" si="419"/>
        <v>132.13262636178885</v>
      </c>
      <c r="J941" s="306">
        <f t="shared" ca="1" si="420"/>
        <v>515.22511340180665</v>
      </c>
      <c r="K941" s="307">
        <f t="shared" ca="1" si="421"/>
        <v>-5.5456923384078323</v>
      </c>
      <c r="L941" s="304">
        <f t="shared" ca="1" si="406"/>
        <v>515.254958426813</v>
      </c>
      <c r="M941" s="306">
        <f t="shared" ca="1" si="422"/>
        <v>-1.5145062376297813</v>
      </c>
      <c r="N941" s="304">
        <f t="shared" ca="1" si="423"/>
        <v>-86.774815462423817</v>
      </c>
      <c r="P941" s="310">
        <f t="shared" ca="1" si="424"/>
        <v>23</v>
      </c>
      <c r="Q941" s="304">
        <f t="shared" ca="1" si="425"/>
        <v>0</v>
      </c>
      <c r="R941" s="306">
        <f t="shared" ca="1" si="426"/>
        <v>0</v>
      </c>
      <c r="S941" s="307">
        <f t="shared" ca="1" si="427"/>
        <v>7.4819999999999904</v>
      </c>
      <c r="T941" s="304">
        <f t="shared" ca="1" si="407"/>
        <v>73.398419999999916</v>
      </c>
      <c r="U941" s="311">
        <f t="shared" ca="1" si="408"/>
        <v>0</v>
      </c>
      <c r="V941" s="306">
        <f t="shared" ca="1" si="409"/>
        <v>1.2256795357362613</v>
      </c>
      <c r="W941" s="304">
        <f t="shared" ca="1" si="410"/>
        <v>56.573360048419055</v>
      </c>
      <c r="Y941" s="314" t="str">
        <f t="shared" ca="1" si="428"/>
        <v/>
      </c>
      <c r="Z941" s="315" t="str">
        <f t="shared" ca="1" si="429"/>
        <v/>
      </c>
      <c r="AA941" s="316" t="str">
        <f t="shared" ca="1" si="430"/>
        <v/>
      </c>
      <c r="AC941" s="310" t="e">
        <f t="shared" ca="1" si="431"/>
        <v>#N/A</v>
      </c>
      <c r="AD941" s="323" t="e">
        <f t="shared" ca="1" si="432"/>
        <v>#N/A</v>
      </c>
      <c r="AE941" s="324" t="e">
        <f t="shared" ca="1" si="411"/>
        <v>#N/A</v>
      </c>
      <c r="AG941" s="306">
        <f t="shared" ca="1" si="433"/>
        <v>2.2332358497624956</v>
      </c>
      <c r="AH941" s="304">
        <f t="shared" ca="1" si="434"/>
        <v>-7.56122616691421</v>
      </c>
    </row>
    <row r="942" spans="1:34" x14ac:dyDescent="0.2">
      <c r="A942" s="347">
        <f t="shared" ca="1" si="412"/>
        <v>1E-4</v>
      </c>
      <c r="B942" s="304">
        <f t="shared" ca="1" si="413"/>
        <v>37.72010000000089</v>
      </c>
      <c r="D942" s="306">
        <f t="shared" ca="1" si="414"/>
        <v>-0.42539936071880541</v>
      </c>
      <c r="E942" s="307">
        <f t="shared" ca="1" si="415"/>
        <v>-2.2607143451836276</v>
      </c>
      <c r="F942" s="304">
        <f t="shared" ca="1" si="416"/>
        <v>2.3003899596848805</v>
      </c>
      <c r="G942" s="306">
        <f t="shared" ca="1" si="417"/>
        <v>7.4337875542452556</v>
      </c>
      <c r="H942" s="307">
        <f t="shared" ca="1" si="418"/>
        <v>-131.92357169075598</v>
      </c>
      <c r="I942" s="304">
        <f t="shared" ca="1" si="419"/>
        <v>132.13284968185496</v>
      </c>
      <c r="J942" s="306">
        <f t="shared" ca="1" si="420"/>
        <v>515.22511340180665</v>
      </c>
      <c r="K942" s="307">
        <f t="shared" ca="1" si="421"/>
        <v>-5.5588846842733357</v>
      </c>
      <c r="L942" s="304">
        <f t="shared" ca="1" si="406"/>
        <v>515.2551005849798</v>
      </c>
      <c r="M942" s="306">
        <f t="shared" ca="1" si="422"/>
        <v>-1.514506655326217</v>
      </c>
      <c r="N942" s="304">
        <f t="shared" ca="1" si="423"/>
        <v>-86.774839394666699</v>
      </c>
      <c r="P942" s="310">
        <f t="shared" ca="1" si="424"/>
        <v>23</v>
      </c>
      <c r="Q942" s="304">
        <f t="shared" ca="1" si="425"/>
        <v>0</v>
      </c>
      <c r="R942" s="306">
        <f t="shared" ca="1" si="426"/>
        <v>0</v>
      </c>
      <c r="S942" s="307">
        <f t="shared" ca="1" si="427"/>
        <v>7.4819999999999904</v>
      </c>
      <c r="T942" s="304">
        <f t="shared" ca="1" si="407"/>
        <v>73.398419999999916</v>
      </c>
      <c r="U942" s="311">
        <f t="shared" ca="1" si="408"/>
        <v>0</v>
      </c>
      <c r="V942" s="306">
        <f t="shared" ca="1" si="409"/>
        <v>1.2256811526962881</v>
      </c>
      <c r="W942" s="304">
        <f t="shared" ca="1" si="410"/>
        <v>56.573625914017086</v>
      </c>
      <c r="Y942" s="314" t="str">
        <f t="shared" ca="1" si="428"/>
        <v/>
      </c>
      <c r="Z942" s="315" t="str">
        <f t="shared" ca="1" si="429"/>
        <v/>
      </c>
      <c r="AA942" s="316" t="str">
        <f t="shared" ca="1" si="430"/>
        <v/>
      </c>
      <c r="AC942" s="310" t="e">
        <f t="shared" ca="1" si="431"/>
        <v>#N/A</v>
      </c>
      <c r="AD942" s="323" t="e">
        <f t="shared" ca="1" si="432"/>
        <v>#N/A</v>
      </c>
      <c r="AE942" s="324" t="e">
        <f t="shared" ca="1" si="411"/>
        <v>#N/A</v>
      </c>
      <c r="AG942" s="306">
        <f t="shared" ca="1" si="433"/>
        <v>2.2332005460068123</v>
      </c>
      <c r="AH942" s="304">
        <f t="shared" ca="1" si="434"/>
        <v>-7.5612617012054431</v>
      </c>
    </row>
    <row r="943" spans="1:34" x14ac:dyDescent="0.2">
      <c r="A943" s="347">
        <f t="shared" ca="1" si="412"/>
        <v>1E-4</v>
      </c>
      <c r="B943" s="304">
        <f t="shared" ca="1" si="413"/>
        <v>37.720200000000894</v>
      </c>
      <c r="D943" s="306">
        <f t="shared" ca="1" si="414"/>
        <v>-0.42539820655171129</v>
      </c>
      <c r="E943" s="307">
        <f t="shared" ca="1" si="415"/>
        <v>-2.2606786897488211</v>
      </c>
      <c r="F943" s="304">
        <f t="shared" ca="1" si="416"/>
        <v>2.3003547057838403</v>
      </c>
      <c r="G943" s="306">
        <f t="shared" ca="1" si="417"/>
        <v>7.4337450144246002</v>
      </c>
      <c r="H943" s="307">
        <f t="shared" ca="1" si="418"/>
        <v>-131.92379775862494</v>
      </c>
      <c r="I943" s="304">
        <f t="shared" ca="1" si="419"/>
        <v>132.13307299839076</v>
      </c>
      <c r="J943" s="306">
        <f t="shared" ca="1" si="420"/>
        <v>515.22511340180665</v>
      </c>
      <c r="K943" s="307">
        <f t="shared" ca="1" si="421"/>
        <v>-5.5720770527458043</v>
      </c>
      <c r="L943" s="304">
        <f t="shared" ca="1" si="406"/>
        <v>515.2552430811221</v>
      </c>
      <c r="M943" s="306">
        <f t="shared" ca="1" si="422"/>
        <v>-1.5145070730188503</v>
      </c>
      <c r="N943" s="304">
        <f t="shared" ca="1" si="423"/>
        <v>-86.774863326691715</v>
      </c>
      <c r="P943" s="310">
        <f t="shared" ca="1" si="424"/>
        <v>23</v>
      </c>
      <c r="Q943" s="304">
        <f t="shared" ca="1" si="425"/>
        <v>0</v>
      </c>
      <c r="R943" s="306">
        <f t="shared" ca="1" si="426"/>
        <v>0</v>
      </c>
      <c r="S943" s="307">
        <f t="shared" ca="1" si="427"/>
        <v>7.4819999999999904</v>
      </c>
      <c r="T943" s="304">
        <f t="shared" ca="1" si="407"/>
        <v>73.398419999999916</v>
      </c>
      <c r="U943" s="311">
        <f t="shared" ca="1" si="408"/>
        <v>0</v>
      </c>
      <c r="V943" s="306">
        <f t="shared" ca="1" si="409"/>
        <v>1.2256827696612194</v>
      </c>
      <c r="W943" s="304">
        <f t="shared" ca="1" si="410"/>
        <v>56.573891777646203</v>
      </c>
      <c r="Y943" s="314" t="str">
        <f t="shared" ca="1" si="428"/>
        <v/>
      </c>
      <c r="Z943" s="315" t="str">
        <f t="shared" ca="1" si="429"/>
        <v/>
      </c>
      <c r="AA943" s="316" t="str">
        <f t="shared" ca="1" si="430"/>
        <v/>
      </c>
      <c r="AC943" s="310" t="e">
        <f t="shared" ca="1" si="431"/>
        <v>#N/A</v>
      </c>
      <c r="AD943" s="323" t="e">
        <f t="shared" ca="1" si="432"/>
        <v>#N/A</v>
      </c>
      <c r="AE943" s="324" t="e">
        <f t="shared" ca="1" si="411"/>
        <v>#N/A</v>
      </c>
      <c r="AG943" s="306">
        <f t="shared" ca="1" si="433"/>
        <v>2.2331652425104798</v>
      </c>
      <c r="AH943" s="304">
        <f t="shared" ca="1" si="434"/>
        <v>-7.561297235233515</v>
      </c>
    </row>
    <row r="944" spans="1:34" x14ac:dyDescent="0.2">
      <c r="A944" s="347">
        <f t="shared" ca="1" si="412"/>
        <v>1E-4</v>
      </c>
      <c r="B944" s="304">
        <f t="shared" ca="1" si="413"/>
        <v>37.720300000000897</v>
      </c>
      <c r="D944" s="306">
        <f t="shared" ca="1" si="414"/>
        <v>-0.42539705236880504</v>
      </c>
      <c r="E944" s="307">
        <f t="shared" ca="1" si="415"/>
        <v>-2.260643034578016</v>
      </c>
      <c r="F944" s="304">
        <f t="shared" ca="1" si="416"/>
        <v>2.3003194521522805</v>
      </c>
      <c r="G944" s="306">
        <f t="shared" ca="1" si="417"/>
        <v>7.4337024747193636</v>
      </c>
      <c r="H944" s="307">
        <f t="shared" ca="1" si="418"/>
        <v>-131.9240238229284</v>
      </c>
      <c r="I944" s="304">
        <f t="shared" ca="1" si="419"/>
        <v>132.13329631139621</v>
      </c>
      <c r="J944" s="306">
        <f t="shared" ca="1" si="420"/>
        <v>515.22511340180665</v>
      </c>
      <c r="K944" s="307">
        <f t="shared" ca="1" si="421"/>
        <v>-5.585269443824882</v>
      </c>
      <c r="L944" s="304">
        <f t="shared" ca="1" si="406"/>
        <v>515.25538591524173</v>
      </c>
      <c r="M944" s="306">
        <f t="shared" ca="1" si="422"/>
        <v>-1.5145074907076819</v>
      </c>
      <c r="N944" s="304">
        <f t="shared" ca="1" si="423"/>
        <v>-86.774887258498921</v>
      </c>
      <c r="P944" s="310">
        <f t="shared" ca="1" si="424"/>
        <v>23</v>
      </c>
      <c r="Q944" s="304">
        <f t="shared" ca="1" si="425"/>
        <v>0</v>
      </c>
      <c r="R944" s="306">
        <f t="shared" ca="1" si="426"/>
        <v>0</v>
      </c>
      <c r="S944" s="307">
        <f t="shared" ca="1" si="427"/>
        <v>7.4819999999999904</v>
      </c>
      <c r="T944" s="304">
        <f t="shared" ca="1" si="407"/>
        <v>73.398419999999916</v>
      </c>
      <c r="U944" s="311">
        <f t="shared" ca="1" si="408"/>
        <v>0</v>
      </c>
      <c r="V944" s="306">
        <f t="shared" ca="1" si="409"/>
        <v>1.2256843866310556</v>
      </c>
      <c r="W944" s="304">
        <f t="shared" ca="1" si="410"/>
        <v>56.574157639306357</v>
      </c>
      <c r="Y944" s="314" t="str">
        <f t="shared" ca="1" si="428"/>
        <v/>
      </c>
      <c r="Z944" s="315" t="str">
        <f t="shared" ca="1" si="429"/>
        <v/>
      </c>
      <c r="AA944" s="316" t="str">
        <f t="shared" ca="1" si="430"/>
        <v/>
      </c>
      <c r="AC944" s="310" t="e">
        <f t="shared" ca="1" si="431"/>
        <v>#N/A</v>
      </c>
      <c r="AD944" s="323" t="e">
        <f t="shared" ca="1" si="432"/>
        <v>#N/A</v>
      </c>
      <c r="AE944" s="324" t="e">
        <f t="shared" ca="1" si="411"/>
        <v>#N/A</v>
      </c>
      <c r="AG944" s="306">
        <f t="shared" ca="1" si="433"/>
        <v>2.2331299392734962</v>
      </c>
      <c r="AH944" s="304">
        <f t="shared" ca="1" si="434"/>
        <v>-7.5613327689984331</v>
      </c>
    </row>
    <row r="945" spans="1:34" x14ac:dyDescent="0.2">
      <c r="A945" s="347">
        <f t="shared" ca="1" si="412"/>
        <v>1E-4</v>
      </c>
      <c r="B945" s="304">
        <f t="shared" ca="1" si="413"/>
        <v>37.7204000000009</v>
      </c>
      <c r="D945" s="306">
        <f t="shared" ca="1" si="414"/>
        <v>-0.42539589817008366</v>
      </c>
      <c r="E945" s="307">
        <f t="shared" ca="1" si="415"/>
        <v>-2.2606073796712183</v>
      </c>
      <c r="F945" s="304">
        <f t="shared" ca="1" si="416"/>
        <v>2.3002841987902065</v>
      </c>
      <c r="G945" s="306">
        <f t="shared" ca="1" si="417"/>
        <v>7.4336599351295467</v>
      </c>
      <c r="H945" s="307">
        <f t="shared" ca="1" si="418"/>
        <v>-131.92424988366636</v>
      </c>
      <c r="I945" s="304">
        <f t="shared" ca="1" si="419"/>
        <v>132.13351962087134</v>
      </c>
      <c r="J945" s="306">
        <f t="shared" ca="1" si="420"/>
        <v>515.22511340180665</v>
      </c>
      <c r="K945" s="307">
        <f t="shared" ca="1" si="421"/>
        <v>-5.5984618575102116</v>
      </c>
      <c r="L945" s="304">
        <f t="shared" ca="1" si="406"/>
        <v>515.25552908733982</v>
      </c>
      <c r="M945" s="306">
        <f t="shared" ca="1" si="422"/>
        <v>-1.5145079083927111</v>
      </c>
      <c r="N945" s="304">
        <f t="shared" ca="1" si="423"/>
        <v>-86.774911190088261</v>
      </c>
      <c r="P945" s="310">
        <f t="shared" ca="1" si="424"/>
        <v>23</v>
      </c>
      <c r="Q945" s="304">
        <f t="shared" ca="1" si="425"/>
        <v>0</v>
      </c>
      <c r="R945" s="306">
        <f t="shared" ca="1" si="426"/>
        <v>0</v>
      </c>
      <c r="S945" s="307">
        <f t="shared" ca="1" si="427"/>
        <v>7.4819999999999904</v>
      </c>
      <c r="T945" s="304">
        <f t="shared" ca="1" si="407"/>
        <v>73.398419999999916</v>
      </c>
      <c r="U945" s="311">
        <f t="shared" ca="1" si="408"/>
        <v>0</v>
      </c>
      <c r="V945" s="306">
        <f t="shared" ca="1" si="409"/>
        <v>1.2256860036057962</v>
      </c>
      <c r="W945" s="304">
        <f t="shared" ca="1" si="410"/>
        <v>56.574423498997518</v>
      </c>
      <c r="Y945" s="314" t="str">
        <f t="shared" ca="1" si="428"/>
        <v/>
      </c>
      <c r="Z945" s="315" t="str">
        <f t="shared" ca="1" si="429"/>
        <v/>
      </c>
      <c r="AA945" s="316" t="str">
        <f t="shared" ca="1" si="430"/>
        <v/>
      </c>
      <c r="AC945" s="310" t="e">
        <f t="shared" ca="1" si="431"/>
        <v>#N/A</v>
      </c>
      <c r="AD945" s="323" t="e">
        <f t="shared" ca="1" si="432"/>
        <v>#N/A</v>
      </c>
      <c r="AE945" s="324" t="e">
        <f t="shared" ca="1" si="411"/>
        <v>#N/A</v>
      </c>
      <c r="AG945" s="306">
        <f t="shared" ca="1" si="433"/>
        <v>2.2330946362958661</v>
      </c>
      <c r="AH945" s="304">
        <f t="shared" ca="1" si="434"/>
        <v>-7.561368302500191</v>
      </c>
    </row>
    <row r="946" spans="1:34" x14ac:dyDescent="0.2">
      <c r="A946" s="347">
        <f t="shared" ca="1" si="412"/>
        <v>1E-4</v>
      </c>
      <c r="B946" s="304">
        <f t="shared" ca="1" si="413"/>
        <v>37.720500000000904</v>
      </c>
      <c r="D946" s="306">
        <f t="shared" ca="1" si="414"/>
        <v>-0.42539474395555105</v>
      </c>
      <c r="E946" s="307">
        <f t="shared" ca="1" si="415"/>
        <v>-2.2605717250284307</v>
      </c>
      <c r="F946" s="304">
        <f t="shared" ca="1" si="416"/>
        <v>2.3002489456976227</v>
      </c>
      <c r="G946" s="306">
        <f t="shared" ca="1" si="417"/>
        <v>7.4336173956551512</v>
      </c>
      <c r="H946" s="307">
        <f t="shared" ca="1" si="418"/>
        <v>-131.92447594083887</v>
      </c>
      <c r="I946" s="304">
        <f t="shared" ca="1" si="419"/>
        <v>132.13374292681624</v>
      </c>
      <c r="J946" s="306">
        <f t="shared" ca="1" si="420"/>
        <v>515.22511340180665</v>
      </c>
      <c r="K946" s="307">
        <f t="shared" ca="1" si="421"/>
        <v>-5.6116542938014371</v>
      </c>
      <c r="L946" s="304">
        <f t="shared" ca="1" si="406"/>
        <v>515.25567259741808</v>
      </c>
      <c r="M946" s="306">
        <f t="shared" ca="1" si="422"/>
        <v>-1.5145083260739385</v>
      </c>
      <c r="N946" s="304">
        <f t="shared" ca="1" si="423"/>
        <v>-86.774935121459762</v>
      </c>
      <c r="P946" s="310">
        <f t="shared" ca="1" si="424"/>
        <v>23</v>
      </c>
      <c r="Q946" s="304">
        <f t="shared" ca="1" si="425"/>
        <v>0</v>
      </c>
      <c r="R946" s="306">
        <f t="shared" ca="1" si="426"/>
        <v>0</v>
      </c>
      <c r="S946" s="307">
        <f t="shared" ca="1" si="427"/>
        <v>7.4819999999999904</v>
      </c>
      <c r="T946" s="304">
        <f t="shared" ca="1" si="407"/>
        <v>73.398419999999916</v>
      </c>
      <c r="U946" s="311">
        <f t="shared" ca="1" si="408"/>
        <v>0</v>
      </c>
      <c r="V946" s="306">
        <f t="shared" ca="1" si="409"/>
        <v>1.225687620585441</v>
      </c>
      <c r="W946" s="304">
        <f t="shared" ca="1" si="410"/>
        <v>56.574689356719759</v>
      </c>
      <c r="Y946" s="314" t="str">
        <f t="shared" ca="1" si="428"/>
        <v/>
      </c>
      <c r="Z946" s="315" t="str">
        <f t="shared" ca="1" si="429"/>
        <v/>
      </c>
      <c r="AA946" s="316" t="str">
        <f t="shared" ca="1" si="430"/>
        <v/>
      </c>
      <c r="AC946" s="310" t="e">
        <f t="shared" ca="1" si="431"/>
        <v>#N/A</v>
      </c>
      <c r="AD946" s="323" t="e">
        <f t="shared" ca="1" si="432"/>
        <v>#N/A</v>
      </c>
      <c r="AE946" s="324" t="e">
        <f t="shared" ca="1" si="411"/>
        <v>#N/A</v>
      </c>
      <c r="AG946" s="306">
        <f t="shared" ca="1" si="433"/>
        <v>2.2330593335775912</v>
      </c>
      <c r="AH946" s="304">
        <f t="shared" ca="1" si="434"/>
        <v>-7.5614038357387852</v>
      </c>
    </row>
    <row r="947" spans="1:34" x14ac:dyDescent="0.2">
      <c r="A947" s="347">
        <f t="shared" ca="1" si="412"/>
        <v>1E-4</v>
      </c>
      <c r="B947" s="304">
        <f t="shared" ca="1" si="413"/>
        <v>37.720600000000907</v>
      </c>
      <c r="D947" s="306">
        <f t="shared" ca="1" si="414"/>
        <v>-0.42539358972520519</v>
      </c>
      <c r="E947" s="307">
        <f t="shared" ca="1" si="415"/>
        <v>-2.2605360706496462</v>
      </c>
      <c r="F947" s="304">
        <f t="shared" ca="1" si="416"/>
        <v>2.3002136928745203</v>
      </c>
      <c r="G947" s="306">
        <f t="shared" ca="1" si="417"/>
        <v>7.433574856296179</v>
      </c>
      <c r="H947" s="307">
        <f t="shared" ca="1" si="418"/>
        <v>-131.92470199444594</v>
      </c>
      <c r="I947" s="304">
        <f t="shared" ca="1" si="419"/>
        <v>132.13396622923088</v>
      </c>
      <c r="J947" s="306">
        <f t="shared" ca="1" si="420"/>
        <v>515.22511340180665</v>
      </c>
      <c r="K947" s="307">
        <f t="shared" ca="1" si="421"/>
        <v>-5.6248467526982013</v>
      </c>
      <c r="L947" s="304">
        <f t="shared" ca="1" si="406"/>
        <v>515.25581644547776</v>
      </c>
      <c r="M947" s="306">
        <f t="shared" ca="1" si="422"/>
        <v>-1.514508743751364</v>
      </c>
      <c r="N947" s="304">
        <f t="shared" ca="1" si="423"/>
        <v>-86.774959052613454</v>
      </c>
      <c r="P947" s="310">
        <f t="shared" ca="1" si="424"/>
        <v>23</v>
      </c>
      <c r="Q947" s="304">
        <f t="shared" ca="1" si="425"/>
        <v>0</v>
      </c>
      <c r="R947" s="306">
        <f t="shared" ca="1" si="426"/>
        <v>0</v>
      </c>
      <c r="S947" s="307">
        <f t="shared" ca="1" si="427"/>
        <v>7.4819999999999904</v>
      </c>
      <c r="T947" s="304">
        <f t="shared" ca="1" si="407"/>
        <v>73.398419999999916</v>
      </c>
      <c r="U947" s="311">
        <f t="shared" ca="1" si="408"/>
        <v>0</v>
      </c>
      <c r="V947" s="306">
        <f t="shared" ca="1" si="409"/>
        <v>1.2256892375699908</v>
      </c>
      <c r="W947" s="304">
        <f t="shared" ca="1" si="410"/>
        <v>56.574955212473043</v>
      </c>
      <c r="Y947" s="314" t="str">
        <f t="shared" ca="1" si="428"/>
        <v/>
      </c>
      <c r="Z947" s="315" t="str">
        <f t="shared" ca="1" si="429"/>
        <v/>
      </c>
      <c r="AA947" s="316" t="str">
        <f t="shared" ca="1" si="430"/>
        <v/>
      </c>
      <c r="AC947" s="310" t="e">
        <f t="shared" ca="1" si="431"/>
        <v>#N/A</v>
      </c>
      <c r="AD947" s="323" t="e">
        <f t="shared" ca="1" si="432"/>
        <v>#N/A</v>
      </c>
      <c r="AE947" s="324" t="e">
        <f t="shared" ca="1" si="411"/>
        <v>#N/A</v>
      </c>
      <c r="AG947" s="306">
        <f t="shared" ca="1" si="433"/>
        <v>2.2330240311186653</v>
      </c>
      <c r="AH947" s="304">
        <f t="shared" ca="1" si="434"/>
        <v>-7.5614393687142254</v>
      </c>
    </row>
    <row r="948" spans="1:34" x14ac:dyDescent="0.2">
      <c r="A948" s="347">
        <f t="shared" ca="1" si="412"/>
        <v>1E-4</v>
      </c>
      <c r="B948" s="304">
        <f t="shared" ca="1" si="413"/>
        <v>37.72070000000091</v>
      </c>
      <c r="D948" s="306">
        <f t="shared" ca="1" si="414"/>
        <v>-0.42539243547904643</v>
      </c>
      <c r="E948" s="307">
        <f t="shared" ca="1" si="415"/>
        <v>-2.2605004165348701</v>
      </c>
      <c r="F948" s="304">
        <f t="shared" ca="1" si="416"/>
        <v>2.3001784403209062</v>
      </c>
      <c r="G948" s="306">
        <f t="shared" ca="1" si="417"/>
        <v>7.4335323170526308</v>
      </c>
      <c r="H948" s="307">
        <f t="shared" ca="1" si="418"/>
        <v>-131.92492804448759</v>
      </c>
      <c r="I948" s="304">
        <f t="shared" ca="1" si="419"/>
        <v>132.13418952811529</v>
      </c>
      <c r="J948" s="306">
        <f t="shared" ca="1" si="420"/>
        <v>515.22511340180665</v>
      </c>
      <c r="K948" s="307">
        <f t="shared" ca="1" si="421"/>
        <v>-5.6380392342001482</v>
      </c>
      <c r="L948" s="304">
        <f t="shared" ca="1" si="406"/>
        <v>515.25596063152045</v>
      </c>
      <c r="M948" s="306">
        <f t="shared" ca="1" si="422"/>
        <v>-1.5145091614249875</v>
      </c>
      <c r="N948" s="304">
        <f t="shared" ca="1" si="423"/>
        <v>-86.774982983549293</v>
      </c>
      <c r="P948" s="310">
        <f t="shared" ca="1" si="424"/>
        <v>23</v>
      </c>
      <c r="Q948" s="304">
        <f t="shared" ca="1" si="425"/>
        <v>0</v>
      </c>
      <c r="R948" s="306">
        <f t="shared" ca="1" si="426"/>
        <v>0</v>
      </c>
      <c r="S948" s="307">
        <f t="shared" ca="1" si="427"/>
        <v>7.4819999999999904</v>
      </c>
      <c r="T948" s="304">
        <f t="shared" ca="1" si="407"/>
        <v>73.398419999999916</v>
      </c>
      <c r="U948" s="311">
        <f t="shared" ca="1" si="408"/>
        <v>0</v>
      </c>
      <c r="V948" s="306">
        <f t="shared" ca="1" si="409"/>
        <v>1.2256908545594452</v>
      </c>
      <c r="W948" s="304">
        <f t="shared" ca="1" si="410"/>
        <v>56.575221066257356</v>
      </c>
      <c r="Y948" s="314" t="str">
        <f t="shared" ca="1" si="428"/>
        <v/>
      </c>
      <c r="Z948" s="315" t="str">
        <f t="shared" ca="1" si="429"/>
        <v/>
      </c>
      <c r="AA948" s="316" t="str">
        <f t="shared" ca="1" si="430"/>
        <v/>
      </c>
      <c r="AC948" s="310" t="e">
        <f t="shared" ca="1" si="431"/>
        <v>#N/A</v>
      </c>
      <c r="AD948" s="323" t="e">
        <f t="shared" ca="1" si="432"/>
        <v>#N/A</v>
      </c>
      <c r="AE948" s="324" t="e">
        <f t="shared" ca="1" si="411"/>
        <v>#N/A</v>
      </c>
      <c r="AG948" s="306">
        <f t="shared" ca="1" si="433"/>
        <v>2.2329887289190875</v>
      </c>
      <c r="AH948" s="304">
        <f t="shared" ca="1" si="434"/>
        <v>-7.5614749014265055</v>
      </c>
    </row>
    <row r="949" spans="1:34" x14ac:dyDescent="0.2">
      <c r="A949" s="347">
        <f t="shared" ca="1" si="412"/>
        <v>1E-4</v>
      </c>
      <c r="B949" s="304">
        <f t="shared" ca="1" si="413"/>
        <v>37.720800000000914</v>
      </c>
      <c r="D949" s="306">
        <f t="shared" ca="1" si="414"/>
        <v>-0.42539128121707714</v>
      </c>
      <c r="E949" s="307">
        <f t="shared" ca="1" si="415"/>
        <v>-2.2604647626841006</v>
      </c>
      <c r="F949" s="304">
        <f t="shared" ca="1" si="416"/>
        <v>2.300143188036778</v>
      </c>
      <c r="G949" s="306">
        <f t="shared" ca="1" si="417"/>
        <v>7.4334897779245095</v>
      </c>
      <c r="H949" s="307">
        <f t="shared" ca="1" si="418"/>
        <v>-131.92515409096384</v>
      </c>
      <c r="I949" s="304">
        <f t="shared" ca="1" si="419"/>
        <v>132.13441282346952</v>
      </c>
      <c r="J949" s="306">
        <f t="shared" ca="1" si="420"/>
        <v>515.22511340180665</v>
      </c>
      <c r="K949" s="307">
        <f t="shared" ca="1" si="421"/>
        <v>-5.6512317383069206</v>
      </c>
      <c r="L949" s="304">
        <f t="shared" ca="1" si="406"/>
        <v>515.25610515554752</v>
      </c>
      <c r="M949" s="306">
        <f t="shared" ca="1" si="422"/>
        <v>-1.5145095790948091</v>
      </c>
      <c r="N949" s="304">
        <f t="shared" ca="1" si="423"/>
        <v>-86.775006914267294</v>
      </c>
      <c r="P949" s="310">
        <f t="shared" ca="1" si="424"/>
        <v>23</v>
      </c>
      <c r="Q949" s="304">
        <f t="shared" ca="1" si="425"/>
        <v>0</v>
      </c>
      <c r="R949" s="306">
        <f t="shared" ca="1" si="426"/>
        <v>0</v>
      </c>
      <c r="S949" s="307">
        <f t="shared" ca="1" si="427"/>
        <v>7.4819999999999904</v>
      </c>
      <c r="T949" s="304">
        <f t="shared" ca="1" si="407"/>
        <v>73.398419999999916</v>
      </c>
      <c r="U949" s="311">
        <f t="shared" ca="1" si="408"/>
        <v>0</v>
      </c>
      <c r="V949" s="306">
        <f t="shared" ca="1" si="409"/>
        <v>1.2256924715538038</v>
      </c>
      <c r="W949" s="304">
        <f t="shared" ca="1" si="410"/>
        <v>56.575486918072691</v>
      </c>
      <c r="Y949" s="314" t="str">
        <f t="shared" ca="1" si="428"/>
        <v/>
      </c>
      <c r="Z949" s="315" t="str">
        <f t="shared" ca="1" si="429"/>
        <v/>
      </c>
      <c r="AA949" s="316" t="str">
        <f t="shared" ca="1" si="430"/>
        <v/>
      </c>
      <c r="AC949" s="310" t="e">
        <f t="shared" ca="1" si="431"/>
        <v>#N/A</v>
      </c>
      <c r="AD949" s="323" t="e">
        <f t="shared" ca="1" si="432"/>
        <v>#N/A</v>
      </c>
      <c r="AE949" s="324" t="e">
        <f t="shared" ca="1" si="411"/>
        <v>#N/A</v>
      </c>
      <c r="AG949" s="306">
        <f t="shared" ca="1" si="433"/>
        <v>2.2329534269788667</v>
      </c>
      <c r="AH949" s="304">
        <f t="shared" ca="1" si="434"/>
        <v>-7.5615104338756254</v>
      </c>
    </row>
    <row r="950" spans="1:34" x14ac:dyDescent="0.2">
      <c r="A950" s="347">
        <f t="shared" ca="1" si="412"/>
        <v>1E-4</v>
      </c>
      <c r="B950" s="304">
        <f t="shared" ca="1" si="413"/>
        <v>37.720900000000917</v>
      </c>
      <c r="D950" s="306">
        <f t="shared" ca="1" si="414"/>
        <v>-0.4253901269392964</v>
      </c>
      <c r="E950" s="307">
        <f t="shared" ca="1" si="415"/>
        <v>-2.2604291090973412</v>
      </c>
      <c r="F950" s="304">
        <f t="shared" ca="1" si="416"/>
        <v>2.3001079360221404</v>
      </c>
      <c r="G950" s="306">
        <f t="shared" ca="1" si="417"/>
        <v>7.4334472389118158</v>
      </c>
      <c r="H950" s="307">
        <f t="shared" ca="1" si="418"/>
        <v>-131.92538013387474</v>
      </c>
      <c r="I950" s="304">
        <f t="shared" ca="1" si="419"/>
        <v>132.13463611529355</v>
      </c>
      <c r="J950" s="306">
        <f t="shared" ca="1" si="420"/>
        <v>515.22511340180665</v>
      </c>
      <c r="K950" s="307">
        <f t="shared" ca="1" si="421"/>
        <v>-5.6644242650181624</v>
      </c>
      <c r="L950" s="304">
        <f t="shared" ca="1" si="406"/>
        <v>515.25625001756043</v>
      </c>
      <c r="M950" s="306">
        <f t="shared" ca="1" si="422"/>
        <v>-1.5145099967608291</v>
      </c>
      <c r="N950" s="304">
        <f t="shared" ca="1" si="423"/>
        <v>-86.775030844767485</v>
      </c>
      <c r="P950" s="310">
        <f t="shared" ca="1" si="424"/>
        <v>23</v>
      </c>
      <c r="Q950" s="304">
        <f t="shared" ca="1" si="425"/>
        <v>0</v>
      </c>
      <c r="R950" s="306">
        <f t="shared" ca="1" si="426"/>
        <v>0</v>
      </c>
      <c r="S950" s="307">
        <f t="shared" ca="1" si="427"/>
        <v>7.4819999999999904</v>
      </c>
      <c r="T950" s="304">
        <f t="shared" ca="1" si="407"/>
        <v>73.398419999999916</v>
      </c>
      <c r="U950" s="311">
        <f t="shared" ca="1" si="408"/>
        <v>0</v>
      </c>
      <c r="V950" s="306">
        <f t="shared" ca="1" si="409"/>
        <v>1.2256940885530669</v>
      </c>
      <c r="W950" s="304">
        <f t="shared" ca="1" si="410"/>
        <v>56.575752767919056</v>
      </c>
      <c r="Y950" s="314" t="str">
        <f t="shared" ca="1" si="428"/>
        <v/>
      </c>
      <c r="Z950" s="315" t="str">
        <f t="shared" ca="1" si="429"/>
        <v/>
      </c>
      <c r="AA950" s="316" t="str">
        <f t="shared" ca="1" si="430"/>
        <v/>
      </c>
      <c r="AC950" s="310" t="e">
        <f t="shared" ca="1" si="431"/>
        <v>#N/A</v>
      </c>
      <c r="AD950" s="323" t="e">
        <f t="shared" ca="1" si="432"/>
        <v>#N/A</v>
      </c>
      <c r="AE950" s="324" t="e">
        <f t="shared" ca="1" si="411"/>
        <v>#N/A</v>
      </c>
      <c r="AG950" s="306">
        <f t="shared" ca="1" si="433"/>
        <v>2.232918125298001</v>
      </c>
      <c r="AH950" s="304">
        <f t="shared" ca="1" si="434"/>
        <v>-7.5615459660615834</v>
      </c>
    </row>
    <row r="951" spans="1:34" x14ac:dyDescent="0.2">
      <c r="A951" s="347">
        <f t="shared" ca="1" si="412"/>
        <v>1E-4</v>
      </c>
      <c r="B951" s="304">
        <f t="shared" ca="1" si="413"/>
        <v>37.72100000000092</v>
      </c>
      <c r="D951" s="306">
        <f t="shared" ca="1" si="414"/>
        <v>-0.42538897264570313</v>
      </c>
      <c r="E951" s="307">
        <f t="shared" ca="1" si="415"/>
        <v>-2.2603934557745911</v>
      </c>
      <c r="F951" s="304">
        <f t="shared" ca="1" si="416"/>
        <v>2.3000726842769916</v>
      </c>
      <c r="G951" s="306">
        <f t="shared" ca="1" si="417"/>
        <v>7.4334047000145516</v>
      </c>
      <c r="H951" s="307">
        <f t="shared" ca="1" si="418"/>
        <v>-131.92560617322033</v>
      </c>
      <c r="I951" s="304">
        <f t="shared" ca="1" si="419"/>
        <v>132.13485940358746</v>
      </c>
      <c r="J951" s="306">
        <f t="shared" ca="1" si="420"/>
        <v>515.22511340180665</v>
      </c>
      <c r="K951" s="307">
        <f t="shared" ca="1" si="421"/>
        <v>-5.6776168143335175</v>
      </c>
      <c r="L951" s="304">
        <f t="shared" ca="1" si="406"/>
        <v>515.25639521756057</v>
      </c>
      <c r="M951" s="306">
        <f t="shared" ca="1" si="422"/>
        <v>-1.5145104144230472</v>
      </c>
      <c r="N951" s="304">
        <f t="shared" ca="1" si="423"/>
        <v>-86.775054775049853</v>
      </c>
      <c r="P951" s="310">
        <f t="shared" ca="1" si="424"/>
        <v>23</v>
      </c>
      <c r="Q951" s="304">
        <f t="shared" ca="1" si="425"/>
        <v>0</v>
      </c>
      <c r="R951" s="306">
        <f t="shared" ca="1" si="426"/>
        <v>0</v>
      </c>
      <c r="S951" s="307">
        <f t="shared" ca="1" si="427"/>
        <v>7.4819999999999904</v>
      </c>
      <c r="T951" s="304">
        <f t="shared" ca="1" si="407"/>
        <v>73.398419999999916</v>
      </c>
      <c r="U951" s="311">
        <f t="shared" ca="1" si="408"/>
        <v>0</v>
      </c>
      <c r="V951" s="306">
        <f t="shared" ca="1" si="409"/>
        <v>1.2256957055572344</v>
      </c>
      <c r="W951" s="304">
        <f t="shared" ca="1" si="410"/>
        <v>56.576018615796443</v>
      </c>
      <c r="Y951" s="314" t="str">
        <f t="shared" ca="1" si="428"/>
        <v/>
      </c>
      <c r="Z951" s="315" t="str">
        <f t="shared" ca="1" si="429"/>
        <v/>
      </c>
      <c r="AA951" s="316" t="str">
        <f t="shared" ca="1" si="430"/>
        <v/>
      </c>
      <c r="AC951" s="310" t="e">
        <f t="shared" ca="1" si="431"/>
        <v>#N/A</v>
      </c>
      <c r="AD951" s="323" t="e">
        <f t="shared" ca="1" si="432"/>
        <v>#N/A</v>
      </c>
      <c r="AE951" s="324" t="e">
        <f t="shared" ca="1" si="411"/>
        <v>#N/A</v>
      </c>
      <c r="AG951" s="306">
        <f t="shared" ca="1" si="433"/>
        <v>2.2328828238764906</v>
      </c>
      <c r="AH951" s="304">
        <f t="shared" ca="1" si="434"/>
        <v>-7.5615814979843794</v>
      </c>
    </row>
    <row r="952" spans="1:34" x14ac:dyDescent="0.2">
      <c r="A952" s="347">
        <f t="shared" ca="1" si="412"/>
        <v>1E-4</v>
      </c>
      <c r="B952" s="304">
        <f t="shared" ca="1" si="413"/>
        <v>37.721100000000924</v>
      </c>
      <c r="D952" s="306">
        <f t="shared" ca="1" si="414"/>
        <v>-0.42538781833629991</v>
      </c>
      <c r="E952" s="307">
        <f t="shared" ca="1" si="415"/>
        <v>-2.2603578027158502</v>
      </c>
      <c r="F952" s="304">
        <f t="shared" ca="1" si="416"/>
        <v>2.3000374328013322</v>
      </c>
      <c r="G952" s="306">
        <f t="shared" ca="1" si="417"/>
        <v>7.4333621612327176</v>
      </c>
      <c r="H952" s="307">
        <f t="shared" ca="1" si="418"/>
        <v>-131.92583220900059</v>
      </c>
      <c r="I952" s="304">
        <f t="shared" ca="1" si="419"/>
        <v>132.13508268835125</v>
      </c>
      <c r="J952" s="306">
        <f t="shared" ca="1" si="420"/>
        <v>515.22511340180665</v>
      </c>
      <c r="K952" s="307">
        <f t="shared" ca="1" si="421"/>
        <v>-5.6908093862526288</v>
      </c>
      <c r="L952" s="304">
        <f t="shared" ca="1" si="406"/>
        <v>515.25654075554951</v>
      </c>
      <c r="M952" s="306">
        <f t="shared" ca="1" si="422"/>
        <v>-1.5145108320814635</v>
      </c>
      <c r="N952" s="304">
        <f t="shared" ca="1" si="423"/>
        <v>-86.775078705114382</v>
      </c>
      <c r="P952" s="310">
        <f t="shared" ca="1" si="424"/>
        <v>23</v>
      </c>
      <c r="Q952" s="304">
        <f t="shared" ca="1" si="425"/>
        <v>0</v>
      </c>
      <c r="R952" s="306">
        <f t="shared" ca="1" si="426"/>
        <v>0</v>
      </c>
      <c r="S952" s="307">
        <f t="shared" ca="1" si="427"/>
        <v>7.4819999999999904</v>
      </c>
      <c r="T952" s="304">
        <f t="shared" ca="1" si="407"/>
        <v>73.398419999999916</v>
      </c>
      <c r="U952" s="311">
        <f t="shared" ca="1" si="408"/>
        <v>0</v>
      </c>
      <c r="V952" s="306">
        <f t="shared" ca="1" si="409"/>
        <v>1.2256973225663061</v>
      </c>
      <c r="W952" s="304">
        <f t="shared" ca="1" si="410"/>
        <v>56.576284461704873</v>
      </c>
      <c r="Y952" s="314" t="str">
        <f t="shared" ca="1" si="428"/>
        <v/>
      </c>
      <c r="Z952" s="315" t="str">
        <f t="shared" ca="1" si="429"/>
        <v/>
      </c>
      <c r="AA952" s="316" t="str">
        <f t="shared" ca="1" si="430"/>
        <v/>
      </c>
      <c r="AC952" s="310" t="e">
        <f t="shared" ca="1" si="431"/>
        <v>#N/A</v>
      </c>
      <c r="AD952" s="323" t="e">
        <f t="shared" ca="1" si="432"/>
        <v>#N/A</v>
      </c>
      <c r="AE952" s="324" t="e">
        <f t="shared" ca="1" si="411"/>
        <v>#N/A</v>
      </c>
      <c r="AG952" s="306">
        <f t="shared" ca="1" si="433"/>
        <v>2.2328475227143345</v>
      </c>
      <c r="AH952" s="304">
        <f t="shared" ca="1" si="434"/>
        <v>-7.5616170296440144</v>
      </c>
    </row>
    <row r="953" spans="1:34" x14ac:dyDescent="0.2">
      <c r="A953" s="347">
        <f t="shared" ca="1" si="412"/>
        <v>1E-4</v>
      </c>
      <c r="B953" s="304">
        <f t="shared" ca="1" si="413"/>
        <v>37.721200000000927</v>
      </c>
      <c r="D953" s="306">
        <f t="shared" ca="1" si="414"/>
        <v>-0.42538666401108749</v>
      </c>
      <c r="E953" s="307">
        <f t="shared" ca="1" si="415"/>
        <v>-2.2603221499211168</v>
      </c>
      <c r="F953" s="304">
        <f t="shared" ca="1" si="416"/>
        <v>2.3000021815951612</v>
      </c>
      <c r="G953" s="306">
        <f t="shared" ca="1" si="417"/>
        <v>7.4333196225663167</v>
      </c>
      <c r="H953" s="307">
        <f t="shared" ca="1" si="418"/>
        <v>-131.92605824121557</v>
      </c>
      <c r="I953" s="304">
        <f t="shared" ca="1" si="419"/>
        <v>132.13530596958495</v>
      </c>
      <c r="J953" s="306">
        <f t="shared" ca="1" si="420"/>
        <v>515.22511340180665</v>
      </c>
      <c r="K953" s="307">
        <f t="shared" ca="1" si="421"/>
        <v>-5.7040019807751392</v>
      </c>
      <c r="L953" s="304">
        <f t="shared" ca="1" si="406"/>
        <v>515.25668663152862</v>
      </c>
      <c r="M953" s="306">
        <f t="shared" ca="1" si="422"/>
        <v>-1.5145112497360784</v>
      </c>
      <c r="N953" s="304">
        <f t="shared" ca="1" si="423"/>
        <v>-86.775102634961101</v>
      </c>
      <c r="P953" s="310">
        <f t="shared" ca="1" si="424"/>
        <v>23</v>
      </c>
      <c r="Q953" s="304">
        <f t="shared" ca="1" si="425"/>
        <v>0</v>
      </c>
      <c r="R953" s="306">
        <f t="shared" ca="1" si="426"/>
        <v>0</v>
      </c>
      <c r="S953" s="307">
        <f t="shared" ca="1" si="427"/>
        <v>7.4819999999999904</v>
      </c>
      <c r="T953" s="304">
        <f t="shared" ca="1" si="407"/>
        <v>73.398419999999916</v>
      </c>
      <c r="U953" s="311">
        <f t="shared" ca="1" si="408"/>
        <v>0</v>
      </c>
      <c r="V953" s="306">
        <f t="shared" ca="1" si="409"/>
        <v>1.2256989395802824</v>
      </c>
      <c r="W953" s="304">
        <f t="shared" ca="1" si="410"/>
        <v>56.576550305644311</v>
      </c>
      <c r="Y953" s="314" t="str">
        <f t="shared" ca="1" si="428"/>
        <v/>
      </c>
      <c r="Z953" s="315" t="str">
        <f t="shared" ca="1" si="429"/>
        <v/>
      </c>
      <c r="AA953" s="316" t="str">
        <f t="shared" ca="1" si="430"/>
        <v/>
      </c>
      <c r="AC953" s="310" t="e">
        <f t="shared" ca="1" si="431"/>
        <v>#N/A</v>
      </c>
      <c r="AD953" s="323" t="e">
        <f t="shared" ca="1" si="432"/>
        <v>#N/A</v>
      </c>
      <c r="AE953" s="324" t="e">
        <f t="shared" ca="1" si="411"/>
        <v>#N/A</v>
      </c>
      <c r="AG953" s="306">
        <f t="shared" ca="1" si="433"/>
        <v>2.2328122218115292</v>
      </c>
      <c r="AH953" s="304">
        <f t="shared" ca="1" si="434"/>
        <v>-7.5616525610404901</v>
      </c>
    </row>
    <row r="954" spans="1:34" x14ac:dyDescent="0.2">
      <c r="A954" s="347">
        <f t="shared" ca="1" si="412"/>
        <v>1E-4</v>
      </c>
      <c r="B954" s="304">
        <f t="shared" ca="1" si="413"/>
        <v>37.72130000000093</v>
      </c>
      <c r="D954" s="306">
        <f t="shared" ca="1" si="414"/>
        <v>-0.425385509670063</v>
      </c>
      <c r="E954" s="307">
        <f t="shared" ca="1" si="415"/>
        <v>-2.2602864973903944</v>
      </c>
      <c r="F954" s="304">
        <f t="shared" ca="1" si="416"/>
        <v>2.2999669306584813</v>
      </c>
      <c r="G954" s="306">
        <f t="shared" ca="1" si="417"/>
        <v>7.4332770840153497</v>
      </c>
      <c r="H954" s="307">
        <f t="shared" ca="1" si="418"/>
        <v>-131.92628426986531</v>
      </c>
      <c r="I954" s="304">
        <f t="shared" ca="1" si="419"/>
        <v>132.13552924728859</v>
      </c>
      <c r="J954" s="306">
        <f t="shared" ca="1" si="420"/>
        <v>515.22511340180665</v>
      </c>
      <c r="K954" s="307">
        <f t="shared" ca="1" si="421"/>
        <v>-5.7171945979006935</v>
      </c>
      <c r="L954" s="304">
        <f t="shared" ca="1" si="406"/>
        <v>515.25683284549928</v>
      </c>
      <c r="M954" s="306">
        <f t="shared" ca="1" si="422"/>
        <v>-1.5145116673868917</v>
      </c>
      <c r="N954" s="304">
        <f t="shared" ca="1" si="423"/>
        <v>-86.775126564590025</v>
      </c>
      <c r="P954" s="310">
        <f t="shared" ca="1" si="424"/>
        <v>23</v>
      </c>
      <c r="Q954" s="304">
        <f t="shared" ca="1" si="425"/>
        <v>0</v>
      </c>
      <c r="R954" s="306">
        <f t="shared" ca="1" si="426"/>
        <v>0</v>
      </c>
      <c r="S954" s="307">
        <f t="shared" ca="1" si="427"/>
        <v>7.4819999999999904</v>
      </c>
      <c r="T954" s="304">
        <f t="shared" ca="1" si="407"/>
        <v>73.398419999999916</v>
      </c>
      <c r="U954" s="311">
        <f t="shared" ca="1" si="408"/>
        <v>0</v>
      </c>
      <c r="V954" s="306">
        <f t="shared" ca="1" si="409"/>
        <v>1.2257005565991628</v>
      </c>
      <c r="W954" s="304">
        <f t="shared" ca="1" si="410"/>
        <v>56.576816147614771</v>
      </c>
      <c r="Y954" s="314" t="str">
        <f t="shared" ca="1" si="428"/>
        <v/>
      </c>
      <c r="Z954" s="315" t="str">
        <f t="shared" ca="1" si="429"/>
        <v/>
      </c>
      <c r="AA954" s="316" t="str">
        <f t="shared" ca="1" si="430"/>
        <v/>
      </c>
      <c r="AC954" s="310" t="e">
        <f t="shared" ca="1" si="431"/>
        <v>#N/A</v>
      </c>
      <c r="AD954" s="323" t="e">
        <f t="shared" ca="1" si="432"/>
        <v>#N/A</v>
      </c>
      <c r="AE954" s="324" t="e">
        <f t="shared" ca="1" si="411"/>
        <v>#N/A</v>
      </c>
      <c r="AG954" s="306">
        <f t="shared" ca="1" si="433"/>
        <v>2.2327769211680835</v>
      </c>
      <c r="AH954" s="304">
        <f t="shared" ca="1" si="434"/>
        <v>-7.5616880921738012</v>
      </c>
    </row>
    <row r="955" spans="1:34" x14ac:dyDescent="0.2">
      <c r="A955" s="347">
        <f t="shared" ca="1" si="412"/>
        <v>1E-4</v>
      </c>
      <c r="B955" s="304">
        <f t="shared" ca="1" si="413"/>
        <v>37.721400000000934</v>
      </c>
      <c r="D955" s="306">
        <f t="shared" ca="1" si="414"/>
        <v>-0.42538435531322899</v>
      </c>
      <c r="E955" s="307">
        <f t="shared" ca="1" si="415"/>
        <v>-2.2602508451236822</v>
      </c>
      <c r="F955" s="304">
        <f t="shared" ca="1" si="416"/>
        <v>2.299931679991293</v>
      </c>
      <c r="G955" s="306">
        <f t="shared" ca="1" si="417"/>
        <v>7.4332345455798183</v>
      </c>
      <c r="H955" s="307">
        <f t="shared" ca="1" si="418"/>
        <v>-131.92651029494982</v>
      </c>
      <c r="I955" s="304">
        <f t="shared" ca="1" si="419"/>
        <v>132.13575252146219</v>
      </c>
      <c r="J955" s="306">
        <f t="shared" ca="1" si="420"/>
        <v>515.22511340180665</v>
      </c>
      <c r="K955" s="307">
        <f t="shared" ca="1" si="421"/>
        <v>-5.7303872376289346</v>
      </c>
      <c r="L955" s="304">
        <f t="shared" ca="1" si="406"/>
        <v>515.25697939746317</v>
      </c>
      <c r="M955" s="306">
        <f t="shared" ca="1" si="422"/>
        <v>-1.5145120850339036</v>
      </c>
      <c r="N955" s="304">
        <f t="shared" ca="1" si="423"/>
        <v>-86.775150494001124</v>
      </c>
      <c r="P955" s="310">
        <f t="shared" ca="1" si="424"/>
        <v>23</v>
      </c>
      <c r="Q955" s="304">
        <f t="shared" ca="1" si="425"/>
        <v>0</v>
      </c>
      <c r="R955" s="306">
        <f t="shared" ca="1" si="426"/>
        <v>0</v>
      </c>
      <c r="S955" s="307">
        <f t="shared" ca="1" si="427"/>
        <v>7.4819999999999904</v>
      </c>
      <c r="T955" s="304">
        <f t="shared" ca="1" si="407"/>
        <v>73.398419999999916</v>
      </c>
      <c r="U955" s="311">
        <f t="shared" ca="1" si="408"/>
        <v>0</v>
      </c>
      <c r="V955" s="306">
        <f t="shared" ca="1" si="409"/>
        <v>1.2257021736229481</v>
      </c>
      <c r="W955" s="304">
        <f t="shared" ca="1" si="410"/>
        <v>56.577081987616275</v>
      </c>
      <c r="Y955" s="314" t="str">
        <f t="shared" ca="1" si="428"/>
        <v/>
      </c>
      <c r="Z955" s="315" t="str">
        <f t="shared" ca="1" si="429"/>
        <v/>
      </c>
      <c r="AA955" s="316" t="str">
        <f t="shared" ca="1" si="430"/>
        <v/>
      </c>
      <c r="AC955" s="310" t="e">
        <f t="shared" ca="1" si="431"/>
        <v>#N/A</v>
      </c>
      <c r="AD955" s="323" t="e">
        <f t="shared" ca="1" si="432"/>
        <v>#N/A</v>
      </c>
      <c r="AE955" s="324" t="e">
        <f t="shared" ca="1" si="411"/>
        <v>#N/A</v>
      </c>
      <c r="AG955" s="306">
        <f t="shared" ca="1" si="433"/>
        <v>2.2327416207839921</v>
      </c>
      <c r="AH955" s="304">
        <f t="shared" ca="1" si="434"/>
        <v>-7.5617236230439513</v>
      </c>
    </row>
    <row r="956" spans="1:34" x14ac:dyDescent="0.2">
      <c r="A956" s="347">
        <f t="shared" ca="1" si="412"/>
        <v>1E-4</v>
      </c>
      <c r="B956" s="304">
        <f t="shared" ca="1" si="413"/>
        <v>37.721500000000937</v>
      </c>
      <c r="D956" s="306">
        <f t="shared" ca="1" si="414"/>
        <v>-0.42538320094058468</v>
      </c>
      <c r="E956" s="307">
        <f t="shared" ca="1" si="415"/>
        <v>-2.2602151931209757</v>
      </c>
      <c r="F956" s="304">
        <f t="shared" ca="1" si="416"/>
        <v>2.2998964295935909</v>
      </c>
      <c r="G956" s="306">
        <f t="shared" ca="1" si="417"/>
        <v>7.4331920072597244</v>
      </c>
      <c r="H956" s="307">
        <f t="shared" ca="1" si="418"/>
        <v>-131.92673631646915</v>
      </c>
      <c r="I956" s="304">
        <f t="shared" ca="1" si="419"/>
        <v>132.1359757921058</v>
      </c>
      <c r="J956" s="306">
        <f t="shared" ca="1" si="420"/>
        <v>515.22511340180665</v>
      </c>
      <c r="K956" s="307">
        <f t="shared" ca="1" si="421"/>
        <v>-5.7435798999595056</v>
      </c>
      <c r="L956" s="304">
        <f t="shared" ca="1" si="406"/>
        <v>515.25712628742144</v>
      </c>
      <c r="M956" s="306">
        <f t="shared" ca="1" si="422"/>
        <v>-1.5145125026771138</v>
      </c>
      <c r="N956" s="304">
        <f t="shared" ca="1" si="423"/>
        <v>-86.775174423194414</v>
      </c>
      <c r="P956" s="310">
        <f t="shared" ca="1" si="424"/>
        <v>23</v>
      </c>
      <c r="Q956" s="304">
        <f t="shared" ca="1" si="425"/>
        <v>0</v>
      </c>
      <c r="R956" s="306">
        <f t="shared" ca="1" si="426"/>
        <v>0</v>
      </c>
      <c r="S956" s="307">
        <f t="shared" ca="1" si="427"/>
        <v>7.4819999999999904</v>
      </c>
      <c r="T956" s="304">
        <f t="shared" ca="1" si="407"/>
        <v>73.398419999999916</v>
      </c>
      <c r="U956" s="311">
        <f t="shared" ca="1" si="408"/>
        <v>0</v>
      </c>
      <c r="V956" s="306">
        <f t="shared" ca="1" si="409"/>
        <v>1.2257037906516368</v>
      </c>
      <c r="W956" s="304">
        <f t="shared" ca="1" si="410"/>
        <v>56.577347825648765</v>
      </c>
      <c r="Y956" s="314" t="str">
        <f t="shared" ca="1" si="428"/>
        <v/>
      </c>
      <c r="Z956" s="315" t="str">
        <f t="shared" ca="1" si="429"/>
        <v/>
      </c>
      <c r="AA956" s="316" t="str">
        <f t="shared" ca="1" si="430"/>
        <v/>
      </c>
      <c r="AC956" s="310" t="e">
        <f t="shared" ca="1" si="431"/>
        <v>#N/A</v>
      </c>
      <c r="AD956" s="323" t="e">
        <f t="shared" ca="1" si="432"/>
        <v>#N/A</v>
      </c>
      <c r="AE956" s="324" t="e">
        <f t="shared" ca="1" si="411"/>
        <v>#N/A</v>
      </c>
      <c r="AG956" s="306">
        <f t="shared" ca="1" si="433"/>
        <v>2.2327063206592532</v>
      </c>
      <c r="AH956" s="304">
        <f t="shared" ca="1" si="434"/>
        <v>-7.5617591536509421</v>
      </c>
    </row>
    <row r="957" spans="1:34" x14ac:dyDescent="0.2">
      <c r="A957" s="347">
        <f t="shared" ca="1" si="412"/>
        <v>1E-4</v>
      </c>
      <c r="B957" s="304">
        <f t="shared" ca="1" si="413"/>
        <v>37.72160000000094</v>
      </c>
      <c r="D957" s="306">
        <f t="shared" ca="1" si="414"/>
        <v>-0.42538204655213202</v>
      </c>
      <c r="E957" s="307">
        <f t="shared" ca="1" si="415"/>
        <v>-2.2601795413822847</v>
      </c>
      <c r="F957" s="304">
        <f t="shared" ca="1" si="416"/>
        <v>2.299861179465386</v>
      </c>
      <c r="G957" s="306">
        <f t="shared" ca="1" si="417"/>
        <v>7.4331494690550688</v>
      </c>
      <c r="H957" s="307">
        <f t="shared" ca="1" si="418"/>
        <v>-131.92696233442328</v>
      </c>
      <c r="I957" s="304">
        <f t="shared" ca="1" si="419"/>
        <v>132.13619905921939</v>
      </c>
      <c r="J957" s="306">
        <f t="shared" ca="1" si="420"/>
        <v>515.22511340180665</v>
      </c>
      <c r="K957" s="307">
        <f t="shared" ca="1" si="421"/>
        <v>-5.7567725848920501</v>
      </c>
      <c r="L957" s="304">
        <f t="shared" ca="1" si="406"/>
        <v>515.25727351537569</v>
      </c>
      <c r="M957" s="306">
        <f t="shared" ca="1" si="422"/>
        <v>-1.5145129203165226</v>
      </c>
      <c r="N957" s="304">
        <f t="shared" ca="1" si="423"/>
        <v>-86.775198352169895</v>
      </c>
      <c r="P957" s="310">
        <f t="shared" ca="1" si="424"/>
        <v>23</v>
      </c>
      <c r="Q957" s="304">
        <f t="shared" ca="1" si="425"/>
        <v>0</v>
      </c>
      <c r="R957" s="306">
        <f t="shared" ca="1" si="426"/>
        <v>0</v>
      </c>
      <c r="S957" s="307">
        <f t="shared" ca="1" si="427"/>
        <v>7.4819999999999904</v>
      </c>
      <c r="T957" s="304">
        <f t="shared" ca="1" si="407"/>
        <v>73.398419999999916</v>
      </c>
      <c r="U957" s="311">
        <f t="shared" ca="1" si="408"/>
        <v>0</v>
      </c>
      <c r="V957" s="306">
        <f t="shared" ca="1" si="409"/>
        <v>1.2257054076852305</v>
      </c>
      <c r="W957" s="304">
        <f t="shared" ca="1" si="410"/>
        <v>56.577613661712277</v>
      </c>
      <c r="Y957" s="314" t="str">
        <f t="shared" ca="1" si="428"/>
        <v/>
      </c>
      <c r="Z957" s="315" t="str">
        <f t="shared" ca="1" si="429"/>
        <v/>
      </c>
      <c r="AA957" s="316" t="str">
        <f t="shared" ca="1" si="430"/>
        <v/>
      </c>
      <c r="AC957" s="310" t="e">
        <f t="shared" ca="1" si="431"/>
        <v>#N/A</v>
      </c>
      <c r="AD957" s="323" t="e">
        <f t="shared" ca="1" si="432"/>
        <v>#N/A</v>
      </c>
      <c r="AE957" s="324" t="e">
        <f t="shared" ca="1" si="411"/>
        <v>#N/A</v>
      </c>
      <c r="AG957" s="306">
        <f t="shared" ca="1" si="433"/>
        <v>2.2326710207938749</v>
      </c>
      <c r="AH957" s="304">
        <f t="shared" ca="1" si="434"/>
        <v>-7.5617946839947656</v>
      </c>
    </row>
    <row r="958" spans="1:34" x14ac:dyDescent="0.2">
      <c r="A958" s="347">
        <f t="shared" ca="1" si="412"/>
        <v>1E-4</v>
      </c>
      <c r="B958" s="304">
        <f t="shared" ca="1" si="413"/>
        <v>37.721700000000943</v>
      </c>
      <c r="D958" s="306">
        <f t="shared" ca="1" si="414"/>
        <v>-0.42538089214787039</v>
      </c>
      <c r="E958" s="307">
        <f t="shared" ca="1" si="415"/>
        <v>-2.2601438899076038</v>
      </c>
      <c r="F958" s="304">
        <f t="shared" ca="1" si="416"/>
        <v>2.2998259296066719</v>
      </c>
      <c r="G958" s="306">
        <f t="shared" ca="1" si="417"/>
        <v>7.4331069309658542</v>
      </c>
      <c r="H958" s="307">
        <f t="shared" ca="1" si="418"/>
        <v>-131.92718834881228</v>
      </c>
      <c r="I958" s="304">
        <f t="shared" ca="1" si="419"/>
        <v>132.13642232280304</v>
      </c>
      <c r="J958" s="306">
        <f t="shared" ca="1" si="420"/>
        <v>515.22511340180665</v>
      </c>
      <c r="K958" s="307">
        <f t="shared" ca="1" si="421"/>
        <v>-5.7699652924262121</v>
      </c>
      <c r="L958" s="304">
        <f t="shared" ca="1" si="406"/>
        <v>515.25742108132738</v>
      </c>
      <c r="M958" s="306">
        <f t="shared" ca="1" si="422"/>
        <v>-1.5145133379521301</v>
      </c>
      <c r="N958" s="304">
        <f t="shared" ca="1" si="423"/>
        <v>-86.775222280927579</v>
      </c>
      <c r="P958" s="310">
        <f t="shared" ca="1" si="424"/>
        <v>23</v>
      </c>
      <c r="Q958" s="304">
        <f t="shared" ca="1" si="425"/>
        <v>0</v>
      </c>
      <c r="R958" s="306">
        <f t="shared" ca="1" si="426"/>
        <v>0</v>
      </c>
      <c r="S958" s="307">
        <f t="shared" ca="1" si="427"/>
        <v>7.4819999999999904</v>
      </c>
      <c r="T958" s="304">
        <f t="shared" ca="1" si="407"/>
        <v>73.398419999999916</v>
      </c>
      <c r="U958" s="311">
        <f t="shared" ca="1" si="408"/>
        <v>0</v>
      </c>
      <c r="V958" s="306">
        <f t="shared" ca="1" si="409"/>
        <v>1.2257070247237283</v>
      </c>
      <c r="W958" s="304">
        <f t="shared" ca="1" si="410"/>
        <v>56.577879495806812</v>
      </c>
      <c r="Y958" s="314" t="str">
        <f t="shared" ca="1" si="428"/>
        <v/>
      </c>
      <c r="Z958" s="315" t="str">
        <f t="shared" ca="1" si="429"/>
        <v/>
      </c>
      <c r="AA958" s="316" t="str">
        <f t="shared" ca="1" si="430"/>
        <v/>
      </c>
      <c r="AC958" s="310" t="e">
        <f t="shared" ca="1" si="431"/>
        <v>#N/A</v>
      </c>
      <c r="AD958" s="323" t="e">
        <f t="shared" ca="1" si="432"/>
        <v>#N/A</v>
      </c>
      <c r="AE958" s="324" t="e">
        <f t="shared" ca="1" si="411"/>
        <v>#N/A</v>
      </c>
      <c r="AG958" s="306">
        <f t="shared" ca="1" si="433"/>
        <v>2.2326357211878554</v>
      </c>
      <c r="AH958" s="304">
        <f t="shared" ca="1" si="434"/>
        <v>-7.5618302140754272</v>
      </c>
    </row>
    <row r="959" spans="1:34" x14ac:dyDescent="0.2">
      <c r="A959" s="347">
        <f t="shared" ca="1" si="412"/>
        <v>1E-4</v>
      </c>
      <c r="B959" s="304">
        <f t="shared" ca="1" si="413"/>
        <v>37.721800000000947</v>
      </c>
      <c r="D959" s="306">
        <f t="shared" ca="1" si="414"/>
        <v>-0.42537973772780058</v>
      </c>
      <c r="E959" s="307">
        <f t="shared" ca="1" si="415"/>
        <v>-2.2601082386969304</v>
      </c>
      <c r="F959" s="304">
        <f t="shared" ca="1" si="416"/>
        <v>2.2997906800174475</v>
      </c>
      <c r="G959" s="306">
        <f t="shared" ca="1" si="417"/>
        <v>7.4330643929920814</v>
      </c>
      <c r="H959" s="307">
        <f t="shared" ca="1" si="418"/>
        <v>-131.92741435963615</v>
      </c>
      <c r="I959" s="304">
        <f t="shared" ca="1" si="419"/>
        <v>132.13664558285674</v>
      </c>
      <c r="J959" s="306">
        <f t="shared" ca="1" si="420"/>
        <v>515.22511340180665</v>
      </c>
      <c r="K959" s="307">
        <f t="shared" ca="1" si="421"/>
        <v>-5.7831580225616346</v>
      </c>
      <c r="L959" s="304">
        <f t="shared" ca="1" si="406"/>
        <v>515.257568985278</v>
      </c>
      <c r="M959" s="306">
        <f t="shared" ca="1" si="422"/>
        <v>-1.5145137555839363</v>
      </c>
      <c r="N959" s="304">
        <f t="shared" ca="1" si="423"/>
        <v>-86.775246209467468</v>
      </c>
      <c r="P959" s="310">
        <f t="shared" ca="1" si="424"/>
        <v>23</v>
      </c>
      <c r="Q959" s="304">
        <f t="shared" ca="1" si="425"/>
        <v>0</v>
      </c>
      <c r="R959" s="306">
        <f t="shared" ca="1" si="426"/>
        <v>0</v>
      </c>
      <c r="S959" s="307">
        <f t="shared" ca="1" si="427"/>
        <v>7.4819999999999904</v>
      </c>
      <c r="T959" s="304">
        <f t="shared" ca="1" si="407"/>
        <v>73.398419999999916</v>
      </c>
      <c r="U959" s="311">
        <f t="shared" ca="1" si="408"/>
        <v>0</v>
      </c>
      <c r="V959" s="306">
        <f t="shared" ca="1" si="409"/>
        <v>1.2257086417671299</v>
      </c>
      <c r="W959" s="304">
        <f t="shared" ca="1" si="410"/>
        <v>56.578145327932319</v>
      </c>
      <c r="Y959" s="314" t="str">
        <f t="shared" ca="1" si="428"/>
        <v/>
      </c>
      <c r="Z959" s="315" t="str">
        <f t="shared" ca="1" si="429"/>
        <v/>
      </c>
      <c r="AA959" s="316" t="str">
        <f t="shared" ca="1" si="430"/>
        <v/>
      </c>
      <c r="AC959" s="310" t="e">
        <f t="shared" ca="1" si="431"/>
        <v>#N/A</v>
      </c>
      <c r="AD959" s="323" t="e">
        <f t="shared" ca="1" si="432"/>
        <v>#N/A</v>
      </c>
      <c r="AE959" s="324" t="e">
        <f t="shared" ca="1" si="411"/>
        <v>#N/A</v>
      </c>
      <c r="AG959" s="306">
        <f t="shared" ca="1" si="433"/>
        <v>2.2326004218411883</v>
      </c>
      <c r="AH959" s="304">
        <f t="shared" ca="1" si="434"/>
        <v>-7.5618657438929278</v>
      </c>
    </row>
    <row r="960" spans="1:34" x14ac:dyDescent="0.2">
      <c r="A960" s="347">
        <f t="shared" ca="1" si="412"/>
        <v>1E-4</v>
      </c>
      <c r="B960" s="304">
        <f t="shared" ca="1" si="413"/>
        <v>37.72190000000095</v>
      </c>
      <c r="D960" s="306">
        <f t="shared" ca="1" si="414"/>
        <v>-0.42537858329192108</v>
      </c>
      <c r="E960" s="307">
        <f t="shared" ca="1" si="415"/>
        <v>-2.2600725877502743</v>
      </c>
      <c r="F960" s="304">
        <f t="shared" ca="1" si="416"/>
        <v>2.2997554306977217</v>
      </c>
      <c r="G960" s="306">
        <f t="shared" ca="1" si="417"/>
        <v>7.4330218551337524</v>
      </c>
      <c r="H960" s="307">
        <f t="shared" ca="1" si="418"/>
        <v>-131.92764036689493</v>
      </c>
      <c r="I960" s="304">
        <f t="shared" ca="1" si="419"/>
        <v>132.13686883938055</v>
      </c>
      <c r="J960" s="306">
        <f t="shared" ca="1" si="420"/>
        <v>515.22511340180665</v>
      </c>
      <c r="K960" s="307">
        <f t="shared" ca="1" si="421"/>
        <v>-5.7963507752979613</v>
      </c>
      <c r="L960" s="304">
        <f t="shared" ca="1" si="406"/>
        <v>515.2577172272288</v>
      </c>
      <c r="M960" s="306">
        <f t="shared" ca="1" si="422"/>
        <v>-1.5145141732119412</v>
      </c>
      <c r="N960" s="304">
        <f t="shared" ca="1" si="423"/>
        <v>-86.775270137789548</v>
      </c>
      <c r="P960" s="310">
        <f t="shared" ca="1" si="424"/>
        <v>23</v>
      </c>
      <c r="Q960" s="304">
        <f t="shared" ca="1" si="425"/>
        <v>0</v>
      </c>
      <c r="R960" s="306">
        <f t="shared" ca="1" si="426"/>
        <v>0</v>
      </c>
      <c r="S960" s="307">
        <f t="shared" ca="1" si="427"/>
        <v>7.4819999999999904</v>
      </c>
      <c r="T960" s="304">
        <f t="shared" ca="1" si="407"/>
        <v>73.398419999999916</v>
      </c>
      <c r="U960" s="311">
        <f t="shared" ca="1" si="408"/>
        <v>0</v>
      </c>
      <c r="V960" s="306">
        <f t="shared" ca="1" si="409"/>
        <v>1.2257102588154358</v>
      </c>
      <c r="W960" s="304">
        <f t="shared" ca="1" si="410"/>
        <v>56.578411158088862</v>
      </c>
      <c r="Y960" s="314" t="str">
        <f t="shared" ca="1" si="428"/>
        <v/>
      </c>
      <c r="Z960" s="315" t="str">
        <f t="shared" ca="1" si="429"/>
        <v/>
      </c>
      <c r="AA960" s="316" t="str">
        <f t="shared" ca="1" si="430"/>
        <v/>
      </c>
      <c r="AC960" s="310" t="e">
        <f t="shared" ca="1" si="431"/>
        <v>#N/A</v>
      </c>
      <c r="AD960" s="323" t="e">
        <f t="shared" ca="1" si="432"/>
        <v>#N/A</v>
      </c>
      <c r="AE960" s="324" t="e">
        <f t="shared" ca="1" si="411"/>
        <v>#N/A</v>
      </c>
      <c r="AG960" s="306">
        <f t="shared" ca="1" si="433"/>
        <v>2.2325651227538854</v>
      </c>
      <c r="AH960" s="304">
        <f t="shared" ca="1" si="434"/>
        <v>-7.5619012734472593</v>
      </c>
    </row>
    <row r="961" spans="1:34" x14ac:dyDescent="0.2">
      <c r="A961" s="347">
        <f t="shared" ca="1" si="412"/>
        <v>1E-4</v>
      </c>
      <c r="B961" s="304">
        <f t="shared" ca="1" si="413"/>
        <v>37.722000000000953</v>
      </c>
      <c r="D961" s="306">
        <f t="shared" ca="1" si="414"/>
        <v>-0.42537742884023483</v>
      </c>
      <c r="E961" s="307">
        <f t="shared" ca="1" si="415"/>
        <v>-2.2600369370676274</v>
      </c>
      <c r="F961" s="304">
        <f t="shared" ca="1" si="416"/>
        <v>2.2997201816474875</v>
      </c>
      <c r="G961" s="306">
        <f t="shared" ca="1" si="417"/>
        <v>7.4329793173908687</v>
      </c>
      <c r="H961" s="307">
        <f t="shared" ca="1" si="418"/>
        <v>-131.92786637058865</v>
      </c>
      <c r="I961" s="304">
        <f t="shared" ca="1" si="419"/>
        <v>132.13709209237447</v>
      </c>
      <c r="J961" s="306">
        <f t="shared" ca="1" si="420"/>
        <v>515.22511340180665</v>
      </c>
      <c r="K961" s="307">
        <f t="shared" ca="1" si="421"/>
        <v>-5.8095435506348352</v>
      </c>
      <c r="L961" s="304">
        <f t="shared" ca="1" si="406"/>
        <v>515.25786580718136</v>
      </c>
      <c r="M961" s="306">
        <f t="shared" ca="1" si="422"/>
        <v>-1.5145145908361448</v>
      </c>
      <c r="N961" s="304">
        <f t="shared" ca="1" si="423"/>
        <v>-86.775294065893846</v>
      </c>
      <c r="P961" s="310">
        <f t="shared" ca="1" si="424"/>
        <v>23</v>
      </c>
      <c r="Q961" s="304">
        <f t="shared" ca="1" si="425"/>
        <v>0</v>
      </c>
      <c r="R961" s="306">
        <f t="shared" ca="1" si="426"/>
        <v>0</v>
      </c>
      <c r="S961" s="307">
        <f t="shared" ca="1" si="427"/>
        <v>7.4819999999999904</v>
      </c>
      <c r="T961" s="304">
        <f t="shared" ca="1" si="407"/>
        <v>73.398419999999916</v>
      </c>
      <c r="U961" s="311">
        <f t="shared" ca="1" si="408"/>
        <v>0</v>
      </c>
      <c r="V961" s="306">
        <f t="shared" ca="1" si="409"/>
        <v>1.2257118758686463</v>
      </c>
      <c r="W961" s="304">
        <f t="shared" ca="1" si="410"/>
        <v>56.578676986276399</v>
      </c>
      <c r="Y961" s="314" t="str">
        <f t="shared" ca="1" si="428"/>
        <v/>
      </c>
      <c r="Z961" s="315" t="str">
        <f t="shared" ca="1" si="429"/>
        <v/>
      </c>
      <c r="AA961" s="316" t="str">
        <f t="shared" ca="1" si="430"/>
        <v/>
      </c>
      <c r="AC961" s="310" t="e">
        <f t="shared" ca="1" si="431"/>
        <v>#N/A</v>
      </c>
      <c r="AD961" s="323" t="e">
        <f t="shared" ca="1" si="432"/>
        <v>#N/A</v>
      </c>
      <c r="AE961" s="324" t="e">
        <f t="shared" ca="1" si="411"/>
        <v>#N/A</v>
      </c>
      <c r="AG961" s="306">
        <f t="shared" ca="1" si="433"/>
        <v>2.232529823925935</v>
      </c>
      <c r="AH961" s="304">
        <f t="shared" ca="1" si="434"/>
        <v>-7.5619368027384297</v>
      </c>
    </row>
    <row r="962" spans="1:34" x14ac:dyDescent="0.2">
      <c r="A962" s="347">
        <f t="shared" ca="1" si="412"/>
        <v>1E-4</v>
      </c>
      <c r="B962" s="304">
        <f t="shared" ca="1" si="413"/>
        <v>37.722100000000957</v>
      </c>
      <c r="D962" s="306">
        <f t="shared" ca="1" si="414"/>
        <v>-0.42537627437274078</v>
      </c>
      <c r="E962" s="307">
        <f t="shared" ca="1" si="415"/>
        <v>-2.2600012866489934</v>
      </c>
      <c r="F962" s="304">
        <f t="shared" ca="1" si="416"/>
        <v>2.2996849328667479</v>
      </c>
      <c r="G962" s="306">
        <f t="shared" ca="1" si="417"/>
        <v>7.4329367797634314</v>
      </c>
      <c r="H962" s="307">
        <f t="shared" ca="1" si="418"/>
        <v>-131.92809237071731</v>
      </c>
      <c r="I962" s="304">
        <f t="shared" ca="1" si="419"/>
        <v>132.13731534183853</v>
      </c>
      <c r="J962" s="306">
        <f t="shared" ca="1" si="420"/>
        <v>515.22511340180665</v>
      </c>
      <c r="K962" s="307">
        <f t="shared" ca="1" si="421"/>
        <v>-5.8227363485719001</v>
      </c>
      <c r="L962" s="304">
        <f t="shared" ca="1" si="406"/>
        <v>515.25801472513695</v>
      </c>
      <c r="M962" s="306">
        <f t="shared" ca="1" si="422"/>
        <v>-1.5145150084565475</v>
      </c>
      <c r="N962" s="304">
        <f t="shared" ca="1" si="423"/>
        <v>-86.775317993780362</v>
      </c>
      <c r="P962" s="310">
        <f t="shared" ca="1" si="424"/>
        <v>23</v>
      </c>
      <c r="Q962" s="304">
        <f t="shared" ca="1" si="425"/>
        <v>0</v>
      </c>
      <c r="R962" s="306">
        <f t="shared" ca="1" si="426"/>
        <v>0</v>
      </c>
      <c r="S962" s="307">
        <f t="shared" ca="1" si="427"/>
        <v>7.4819999999999904</v>
      </c>
      <c r="T962" s="304">
        <f t="shared" ca="1" si="407"/>
        <v>73.398419999999916</v>
      </c>
      <c r="U962" s="311">
        <f t="shared" ca="1" si="408"/>
        <v>0</v>
      </c>
      <c r="V962" s="306">
        <f t="shared" ca="1" si="409"/>
        <v>1.2257134929267599</v>
      </c>
      <c r="W962" s="304">
        <f t="shared" ca="1" si="410"/>
        <v>56.578942812494901</v>
      </c>
      <c r="Y962" s="314" t="str">
        <f t="shared" ca="1" si="428"/>
        <v/>
      </c>
      <c r="Z962" s="315" t="str">
        <f t="shared" ca="1" si="429"/>
        <v/>
      </c>
      <c r="AA962" s="316" t="str">
        <f t="shared" ca="1" si="430"/>
        <v/>
      </c>
      <c r="AC962" s="310" t="e">
        <f t="shared" ca="1" si="431"/>
        <v>#N/A</v>
      </c>
      <c r="AD962" s="323" t="e">
        <f t="shared" ca="1" si="432"/>
        <v>#N/A</v>
      </c>
      <c r="AE962" s="324" t="e">
        <f t="shared" ca="1" si="411"/>
        <v>#N/A</v>
      </c>
      <c r="AG962" s="306">
        <f t="shared" ca="1" si="433"/>
        <v>2.232494525357346</v>
      </c>
      <c r="AH962" s="304">
        <f t="shared" ca="1" si="434"/>
        <v>-7.5619723317664356</v>
      </c>
    </row>
    <row r="963" spans="1:34" x14ac:dyDescent="0.2">
      <c r="A963" s="347">
        <f t="shared" ca="1" si="412"/>
        <v>1E-4</v>
      </c>
      <c r="B963" s="304">
        <f t="shared" ca="1" si="413"/>
        <v>37.72220000000096</v>
      </c>
      <c r="D963" s="306">
        <f t="shared" ca="1" si="414"/>
        <v>-0.42537511988943755</v>
      </c>
      <c r="E963" s="307">
        <f t="shared" ca="1" si="415"/>
        <v>-2.2599656364943757</v>
      </c>
      <c r="F963" s="304">
        <f t="shared" ca="1" si="416"/>
        <v>2.299649684355507</v>
      </c>
      <c r="G963" s="306">
        <f t="shared" ca="1" si="417"/>
        <v>7.4328942422514421</v>
      </c>
      <c r="H963" s="307">
        <f t="shared" ca="1" si="418"/>
        <v>-131.92831836728095</v>
      </c>
      <c r="I963" s="304">
        <f t="shared" ca="1" si="419"/>
        <v>132.13753858777275</v>
      </c>
      <c r="J963" s="306">
        <f t="shared" ca="1" si="420"/>
        <v>515.22511340180665</v>
      </c>
      <c r="K963" s="307">
        <f t="shared" ca="1" si="421"/>
        <v>-5.8359291691088</v>
      </c>
      <c r="L963" s="304">
        <f t="shared" ca="1" si="406"/>
        <v>515.25816398109737</v>
      </c>
      <c r="M963" s="306">
        <f t="shared" ca="1" si="422"/>
        <v>-1.5145154260731488</v>
      </c>
      <c r="N963" s="304">
        <f t="shared" ca="1" si="423"/>
        <v>-86.775341921449069</v>
      </c>
      <c r="P963" s="310">
        <f t="shared" ca="1" si="424"/>
        <v>23</v>
      </c>
      <c r="Q963" s="304">
        <f t="shared" ca="1" si="425"/>
        <v>0</v>
      </c>
      <c r="R963" s="306">
        <f t="shared" ca="1" si="426"/>
        <v>0</v>
      </c>
      <c r="S963" s="307">
        <f t="shared" ca="1" si="427"/>
        <v>7.4819999999999904</v>
      </c>
      <c r="T963" s="304">
        <f t="shared" ca="1" si="407"/>
        <v>73.398419999999916</v>
      </c>
      <c r="U963" s="311">
        <f t="shared" ca="1" si="408"/>
        <v>0</v>
      </c>
      <c r="V963" s="306">
        <f t="shared" ca="1" si="409"/>
        <v>1.2257151099897783</v>
      </c>
      <c r="W963" s="304">
        <f t="shared" ca="1" si="410"/>
        <v>56.579208636744404</v>
      </c>
      <c r="Y963" s="314" t="str">
        <f t="shared" ca="1" si="428"/>
        <v/>
      </c>
      <c r="Z963" s="315" t="str">
        <f t="shared" ca="1" si="429"/>
        <v/>
      </c>
      <c r="AA963" s="316" t="str">
        <f t="shared" ca="1" si="430"/>
        <v/>
      </c>
      <c r="AC963" s="310" t="e">
        <f t="shared" ca="1" si="431"/>
        <v>#N/A</v>
      </c>
      <c r="AD963" s="323" t="e">
        <f t="shared" ca="1" si="432"/>
        <v>#N/A</v>
      </c>
      <c r="AE963" s="324" t="e">
        <f t="shared" ca="1" si="411"/>
        <v>#N/A</v>
      </c>
      <c r="AG963" s="306">
        <f t="shared" ca="1" si="433"/>
        <v>2.2324592270481203</v>
      </c>
      <c r="AH963" s="304">
        <f t="shared" ca="1" si="434"/>
        <v>-7.5620078605312715</v>
      </c>
    </row>
    <row r="964" spans="1:34" x14ac:dyDescent="0.2">
      <c r="A964" s="347">
        <f t="shared" ca="1" si="412"/>
        <v>1E-4</v>
      </c>
      <c r="B964" s="304">
        <f t="shared" ca="1" si="413"/>
        <v>37.722300000000963</v>
      </c>
      <c r="D964" s="306">
        <f t="shared" ca="1" si="414"/>
        <v>-0.42537396539032957</v>
      </c>
      <c r="E964" s="307">
        <f t="shared" ca="1" si="415"/>
        <v>-2.2599299866037708</v>
      </c>
      <c r="F964" s="304">
        <f t="shared" ca="1" si="416"/>
        <v>2.2996144361137616</v>
      </c>
      <c r="G964" s="306">
        <f t="shared" ca="1" si="417"/>
        <v>7.4328517048549028</v>
      </c>
      <c r="H964" s="307">
        <f t="shared" ca="1" si="418"/>
        <v>-131.9285443602796</v>
      </c>
      <c r="I964" s="304">
        <f t="shared" ca="1" si="419"/>
        <v>132.13776183017717</v>
      </c>
      <c r="J964" s="306">
        <f t="shared" ca="1" si="420"/>
        <v>515.22511340180665</v>
      </c>
      <c r="K964" s="307">
        <f t="shared" ca="1" si="421"/>
        <v>-5.8491220122451777</v>
      </c>
      <c r="L964" s="304">
        <f t="shared" ref="L964:L1004" ca="1" si="435">SQRT(pos_x^2+pos_z^2)</f>
        <v>515.25831357506365</v>
      </c>
      <c r="M964" s="306">
        <f t="shared" ca="1" si="422"/>
        <v>-1.5145158436859492</v>
      </c>
      <c r="N964" s="304">
        <f t="shared" ca="1" si="423"/>
        <v>-86.775365848899995</v>
      </c>
      <c r="P964" s="310">
        <f t="shared" ca="1" si="424"/>
        <v>23</v>
      </c>
      <c r="Q964" s="304">
        <f t="shared" ca="1" si="425"/>
        <v>0</v>
      </c>
      <c r="R964" s="306">
        <f t="shared" ca="1" si="426"/>
        <v>0</v>
      </c>
      <c r="S964" s="307">
        <f t="shared" ca="1" si="427"/>
        <v>7.4819999999999904</v>
      </c>
      <c r="T964" s="304">
        <f t="shared" ref="T964:T1004" ca="1" si="436">m*g</f>
        <v>73.398419999999916</v>
      </c>
      <c r="U964" s="311">
        <f t="shared" ref="U964:U1004" ca="1" si="437">IF(pos_xz&lt;L_rampe,Poids*COS(Beta),0)</f>
        <v>0</v>
      </c>
      <c r="V964" s="306">
        <f t="shared" ref="V964:V1004" ca="1" si="438">Rho_moyen*(20000-Alt_rampe-pos_z)/(20000+Alt_rampe+pos_z)</f>
        <v>1.2257167270577005</v>
      </c>
      <c r="W964" s="304">
        <f t="shared" ref="W964:W1003" ca="1" si="439">1/2*Rho*Sref*Cx*vit_xz^2</f>
        <v>56.579474459024901</v>
      </c>
      <c r="Y964" s="314" t="str">
        <f t="shared" ca="1" si="428"/>
        <v/>
      </c>
      <c r="Z964" s="315" t="str">
        <f t="shared" ca="1" si="429"/>
        <v/>
      </c>
      <c r="AA964" s="316" t="str">
        <f t="shared" ca="1" si="430"/>
        <v/>
      </c>
      <c r="AC964" s="310" t="e">
        <f t="shared" ca="1" si="431"/>
        <v>#N/A</v>
      </c>
      <c r="AD964" s="323" t="e">
        <f t="shared" ca="1" si="432"/>
        <v>#N/A</v>
      </c>
      <c r="AE964" s="324" t="e">
        <f t="shared" ref="AE964:AE1004" ca="1" si="440">IF(t&lt;T_para, pos_z, NA())</f>
        <v>#N/A</v>
      </c>
      <c r="AG964" s="306">
        <f t="shared" ca="1" si="433"/>
        <v>2.2324239289982524</v>
      </c>
      <c r="AH964" s="304">
        <f t="shared" ca="1" si="434"/>
        <v>-7.5620433890329428</v>
      </c>
    </row>
    <row r="965" spans="1:34" x14ac:dyDescent="0.2">
      <c r="A965" s="347">
        <f t="shared" ref="A965:A1004" ca="1" si="441">IF(B964+0.01&lt;=T_ini+ROUNDUP(Temps_fin_propu,0), 0.01, IF(K964&gt;0, 0.1, 0.0001))</f>
        <v>1E-4</v>
      </c>
      <c r="B965" s="304">
        <f t="shared" ref="B965:B1004" ca="1" si="442">B964+pas</f>
        <v>37.722400000000967</v>
      </c>
      <c r="D965" s="306">
        <f t="shared" ref="D965:D1004" ca="1" si="443">IF(AND(L964&lt;L_rampe,Poussee&lt;Poids*SIN(M964)),0,(-W964+Poussee)/m*COS(M964)-U964/m*SIN(M964))</f>
        <v>-0.42537281087541418</v>
      </c>
      <c r="E965" s="307">
        <f t="shared" ref="E965:E1004" ca="1" si="444">IF(AND(L964&lt;L_rampe,Poussee&lt;Poids*SIN(M964)),0,(-W964+Poussee)/m*SIN(M964)+U964/m*COS(M964)-Poids/m)</f>
        <v>-2.2598943369771796</v>
      </c>
      <c r="F965" s="304">
        <f t="shared" ref="F965:F1004" ca="1" si="445">SQRT(acc_x^2+acc_z^2)</f>
        <v>2.2995791881415122</v>
      </c>
      <c r="G965" s="306">
        <f t="shared" ref="G965:G1004" ca="1" si="446">G964+acc_x*pas</f>
        <v>7.432809167573815</v>
      </c>
      <c r="H965" s="307">
        <f t="shared" ref="H965:H1004" ca="1" si="447">H964+acc_z*pas</f>
        <v>-131.92877034971329</v>
      </c>
      <c r="I965" s="304">
        <f t="shared" ref="I965:I1004" ca="1" si="448">SQRT(vit_x^2+vit_z^2)</f>
        <v>132.13798506905181</v>
      </c>
      <c r="J965" s="306">
        <f t="shared" ref="J965:J1004" ca="1" si="449">J964+0.5*(vit_x+G964)*pas*(K964&gt;=0)</f>
        <v>515.22511340180665</v>
      </c>
      <c r="K965" s="307">
        <f t="shared" ref="K965:K1004" ca="1" si="450">K964+0.5*(vit_z+H964)*pas</f>
        <v>-5.8623148779806771</v>
      </c>
      <c r="L965" s="304">
        <f t="shared" ca="1" si="435"/>
        <v>515.2584635070375</v>
      </c>
      <c r="M965" s="306">
        <f t="shared" ref="M965:M1004" ca="1" si="451">IF(AND(L964&gt;L_rampe,G965&gt;0),ATAN2(G965,H965),$M$4)</f>
        <v>-1.5145162612949485</v>
      </c>
      <c r="N965" s="304">
        <f t="shared" ref="N965:N1004" ca="1" si="452">DEGREES(Beta)</f>
        <v>-86.775389776133153</v>
      </c>
      <c r="P965" s="310">
        <f t="shared" ref="P965:P1004" ca="1" si="453">MATCH(t-pas/2-T_ini,CdP_t)</f>
        <v>23</v>
      </c>
      <c r="Q965" s="304">
        <f t="shared" ref="Q965:Q1004" ca="1" si="454">(INDEX(CdP,2,i_P+1)-INDEX(CdP,2,i_P+0))/(INDEX(CdP,1,i_P+1)-INDEX(CdP,1,i_P+0))*(t-pas/2-T_ini-INDEX(CdP,1,i_P+0))+INDEX(CdP,2,i_P+0)</f>
        <v>0</v>
      </c>
      <c r="R965" s="306">
        <f t="shared" ref="R965:R1004" ca="1" si="455">Poussee/(g*ISP)</f>
        <v>0</v>
      </c>
      <c r="S965" s="307">
        <f t="shared" ref="S965:S1004" ca="1" si="456">S964-Débit*pas</f>
        <v>7.4819999999999904</v>
      </c>
      <c r="T965" s="304">
        <f t="shared" ca="1" si="436"/>
        <v>73.398419999999916</v>
      </c>
      <c r="U965" s="311">
        <f t="shared" ca="1" si="437"/>
        <v>0</v>
      </c>
      <c r="V965" s="306">
        <f t="shared" ca="1" si="438"/>
        <v>1.2257183441305268</v>
      </c>
      <c r="W965" s="304">
        <f t="shared" ca="1" si="439"/>
        <v>56.579740279336399</v>
      </c>
      <c r="Y965" s="314" t="str">
        <f t="shared" ref="Y965:Y1003" ca="1" si="457">IF(AND(pos_z&lt;=0,K964&gt;0),"Impact balistique","") &amp; IF(AND(H966&lt;0,vit_z&gt;=0),"Apogée","") &amp; IF(AND(Poussee=0,Q964&gt;0),"Fin de propulsion","") &amp; IF(AND(L966&gt;L_rampe,pos_xz&lt;=L_rampe),"Sortie de rampe","")</f>
        <v/>
      </c>
      <c r="Z965" s="315" t="str">
        <f t="shared" ref="Z965:Z1004" ca="1" si="458">IF(ABS(t-T_para)&lt;pas/2,"Para","")</f>
        <v/>
      </c>
      <c r="AA965" s="316" t="str">
        <f t="shared" ref="AA965:AA1004" ca="1" si="459">IF(ABS(t-T_satellite)&lt;pas/2,"Satellite","")</f>
        <v/>
      </c>
      <c r="AC965" s="310" t="e">
        <f t="shared" ref="AC965:AC1004" ca="1" si="460">IF(ABS(t-ROUND(t,0))&lt;0.001,t,NA())</f>
        <v>#N/A</v>
      </c>
      <c r="AD965" s="323" t="e">
        <f t="shared" ref="AD965:AD1004" ca="1" si="461">IF(ABS(t-ROUND(t,0))&lt;0.001,pos_x,NA())</f>
        <v>#N/A</v>
      </c>
      <c r="AE965" s="324" t="e">
        <f t="shared" ca="1" si="440"/>
        <v>#N/A</v>
      </c>
      <c r="AG965" s="306">
        <f t="shared" ref="AG965:AG1004" ca="1" si="462">IF(AND(L964&lt;L_rampe,Poussee&lt;Poids*SIN(M964)),0,(-W964+Poussee)/m-Poids*SIN(M964)/m)</f>
        <v>2.2323886312077459</v>
      </c>
      <c r="AH965" s="304">
        <f t="shared" ref="AH965:AH1004" ca="1" si="463">IF(AND(L964&lt;L_rampe,Poussee&lt;Poids*SIN(M964)), g*SIN(M964), (-W964+Poussee)/m)</f>
        <v>-7.5620789172714478</v>
      </c>
    </row>
    <row r="966" spans="1:34" x14ac:dyDescent="0.2">
      <c r="A966" s="347">
        <f t="shared" ca="1" si="441"/>
        <v>1E-4</v>
      </c>
      <c r="B966" s="304">
        <f t="shared" ca="1" si="442"/>
        <v>37.72250000000097</v>
      </c>
      <c r="D966" s="306">
        <f t="shared" ca="1" si="443"/>
        <v>-0.42537165634469221</v>
      </c>
      <c r="E966" s="307">
        <f t="shared" ca="1" si="444"/>
        <v>-2.2598586876146021</v>
      </c>
      <c r="F966" s="304">
        <f t="shared" ca="1" si="445"/>
        <v>2.2995439404387601</v>
      </c>
      <c r="G966" s="306">
        <f t="shared" ca="1" si="446"/>
        <v>7.4327666304081808</v>
      </c>
      <c r="H966" s="307">
        <f t="shared" ca="1" si="447"/>
        <v>-131.92899633558204</v>
      </c>
      <c r="I966" s="304">
        <f t="shared" ca="1" si="448"/>
        <v>132.13820830439667</v>
      </c>
      <c r="J966" s="306">
        <f t="shared" ca="1" si="449"/>
        <v>515.22511340180665</v>
      </c>
      <c r="K966" s="307">
        <f t="shared" ca="1" si="450"/>
        <v>-5.875507766314942</v>
      </c>
      <c r="L966" s="304">
        <f t="shared" ca="1" si="435"/>
        <v>515.25861377702029</v>
      </c>
      <c r="M966" s="306">
        <f t="shared" ca="1" si="451"/>
        <v>-1.514516678900147</v>
      </c>
      <c r="N966" s="304">
        <f t="shared" ca="1" si="452"/>
        <v>-86.775413703148516</v>
      </c>
      <c r="P966" s="310">
        <f t="shared" ca="1" si="453"/>
        <v>23</v>
      </c>
      <c r="Q966" s="304">
        <f t="shared" ca="1" si="454"/>
        <v>0</v>
      </c>
      <c r="R966" s="306">
        <f t="shared" ca="1" si="455"/>
        <v>0</v>
      </c>
      <c r="S966" s="307">
        <f t="shared" ca="1" si="456"/>
        <v>7.4819999999999904</v>
      </c>
      <c r="T966" s="304">
        <f t="shared" ca="1" si="436"/>
        <v>73.398419999999916</v>
      </c>
      <c r="U966" s="311">
        <f t="shared" ca="1" si="437"/>
        <v>0</v>
      </c>
      <c r="V966" s="306">
        <f t="shared" ca="1" si="438"/>
        <v>1.2257199612082572</v>
      </c>
      <c r="W966" s="304">
        <f t="shared" ca="1" si="439"/>
        <v>56.580006097678854</v>
      </c>
      <c r="Y966" s="314" t="str">
        <f t="shared" ca="1" si="457"/>
        <v/>
      </c>
      <c r="Z966" s="315" t="str">
        <f t="shared" ca="1" si="458"/>
        <v/>
      </c>
      <c r="AA966" s="316" t="str">
        <f t="shared" ca="1" si="459"/>
        <v/>
      </c>
      <c r="AC966" s="310" t="e">
        <f t="shared" ca="1" si="460"/>
        <v>#N/A</v>
      </c>
      <c r="AD966" s="323" t="e">
        <f t="shared" ca="1" si="461"/>
        <v>#N/A</v>
      </c>
      <c r="AE966" s="324" t="e">
        <f t="shared" ca="1" si="440"/>
        <v>#N/A</v>
      </c>
      <c r="AG966" s="306">
        <f t="shared" ca="1" si="462"/>
        <v>2.232353333676599</v>
      </c>
      <c r="AH966" s="304">
        <f t="shared" ca="1" si="463"/>
        <v>-7.5621144452467881</v>
      </c>
    </row>
    <row r="967" spans="1:34" x14ac:dyDescent="0.2">
      <c r="A967" s="347">
        <f t="shared" ca="1" si="441"/>
        <v>1E-4</v>
      </c>
      <c r="B967" s="304">
        <f t="shared" ca="1" si="442"/>
        <v>37.722600000000973</v>
      </c>
      <c r="D967" s="306">
        <f t="shared" ca="1" si="443"/>
        <v>-0.42537050179816399</v>
      </c>
      <c r="E967" s="307">
        <f t="shared" ca="1" si="444"/>
        <v>-2.2598230385160409</v>
      </c>
      <c r="F967" s="304">
        <f t="shared" ca="1" si="445"/>
        <v>2.2995086930055066</v>
      </c>
      <c r="G967" s="306">
        <f t="shared" ca="1" si="446"/>
        <v>7.4327240933580008</v>
      </c>
      <c r="H967" s="307">
        <f t="shared" ca="1" si="447"/>
        <v>-131.92922231788589</v>
      </c>
      <c r="I967" s="304">
        <f t="shared" ca="1" si="448"/>
        <v>132.13843153621184</v>
      </c>
      <c r="J967" s="306">
        <f t="shared" ca="1" si="449"/>
        <v>515.22511340180665</v>
      </c>
      <c r="K967" s="307">
        <f t="shared" ca="1" si="450"/>
        <v>-5.8887006772476154</v>
      </c>
      <c r="L967" s="304">
        <f t="shared" ca="1" si="435"/>
        <v>515.25876438501336</v>
      </c>
      <c r="M967" s="306">
        <f t="shared" ca="1" si="451"/>
        <v>-1.5145170965015446</v>
      </c>
      <c r="N967" s="304">
        <f t="shared" ca="1" si="452"/>
        <v>-86.775437629946126</v>
      </c>
      <c r="P967" s="310">
        <f t="shared" ca="1" si="453"/>
        <v>23</v>
      </c>
      <c r="Q967" s="304">
        <f t="shared" ca="1" si="454"/>
        <v>0</v>
      </c>
      <c r="R967" s="306">
        <f t="shared" ca="1" si="455"/>
        <v>0</v>
      </c>
      <c r="S967" s="307">
        <f t="shared" ca="1" si="456"/>
        <v>7.4819999999999904</v>
      </c>
      <c r="T967" s="304">
        <f t="shared" ca="1" si="436"/>
        <v>73.398419999999916</v>
      </c>
      <c r="U967" s="311">
        <f t="shared" ca="1" si="437"/>
        <v>0</v>
      </c>
      <c r="V967" s="306">
        <f t="shared" ca="1" si="438"/>
        <v>1.2257215782908915</v>
      </c>
      <c r="W967" s="304">
        <f t="shared" ca="1" si="439"/>
        <v>56.580271914052325</v>
      </c>
      <c r="Y967" s="314" t="str">
        <f t="shared" ca="1" si="457"/>
        <v/>
      </c>
      <c r="Z967" s="315" t="str">
        <f t="shared" ca="1" si="458"/>
        <v/>
      </c>
      <c r="AA967" s="316" t="str">
        <f t="shared" ca="1" si="459"/>
        <v/>
      </c>
      <c r="AC967" s="310" t="e">
        <f t="shared" ca="1" si="460"/>
        <v>#N/A</v>
      </c>
      <c r="AD967" s="323" t="e">
        <f t="shared" ca="1" si="461"/>
        <v>#N/A</v>
      </c>
      <c r="AE967" s="324" t="e">
        <f t="shared" ca="1" si="440"/>
        <v>#N/A</v>
      </c>
      <c r="AG967" s="306">
        <f t="shared" ca="1" si="462"/>
        <v>2.2323180364048172</v>
      </c>
      <c r="AH967" s="304">
        <f t="shared" ca="1" si="463"/>
        <v>-7.5621499729589585</v>
      </c>
    </row>
    <row r="968" spans="1:34" x14ac:dyDescent="0.2">
      <c r="A968" s="347">
        <f t="shared" ca="1" si="441"/>
        <v>1E-4</v>
      </c>
      <c r="B968" s="304">
        <f t="shared" ca="1" si="442"/>
        <v>37.722700000000977</v>
      </c>
      <c r="D968" s="306">
        <f t="shared" ca="1" si="443"/>
        <v>-0.42536934723582903</v>
      </c>
      <c r="E968" s="307">
        <f t="shared" ca="1" si="444"/>
        <v>-2.2597873896814917</v>
      </c>
      <c r="F968" s="304">
        <f t="shared" ca="1" si="445"/>
        <v>2.2994734458417487</v>
      </c>
      <c r="G968" s="306">
        <f t="shared" ca="1" si="446"/>
        <v>7.4326815564232769</v>
      </c>
      <c r="H968" s="307">
        <f t="shared" ca="1" si="447"/>
        <v>-131.92944829662486</v>
      </c>
      <c r="I968" s="304">
        <f t="shared" ca="1" si="448"/>
        <v>132.13865476449729</v>
      </c>
      <c r="J968" s="306">
        <f t="shared" ca="1" si="449"/>
        <v>515.22511340180665</v>
      </c>
      <c r="K968" s="307">
        <f t="shared" ca="1" si="450"/>
        <v>-5.9018936107783411</v>
      </c>
      <c r="L968" s="304">
        <f t="shared" ca="1" si="435"/>
        <v>515.25891533101833</v>
      </c>
      <c r="M968" s="306">
        <f t="shared" ca="1" si="451"/>
        <v>-1.5145175140991411</v>
      </c>
      <c r="N968" s="304">
        <f t="shared" ca="1" si="452"/>
        <v>-86.77546155652594</v>
      </c>
      <c r="P968" s="310">
        <f t="shared" ca="1" si="453"/>
        <v>23</v>
      </c>
      <c r="Q968" s="304">
        <f t="shared" ca="1" si="454"/>
        <v>0</v>
      </c>
      <c r="R968" s="306">
        <f t="shared" ca="1" si="455"/>
        <v>0</v>
      </c>
      <c r="S968" s="307">
        <f t="shared" ca="1" si="456"/>
        <v>7.4819999999999904</v>
      </c>
      <c r="T968" s="304">
        <f t="shared" ca="1" si="436"/>
        <v>73.398419999999916</v>
      </c>
      <c r="U968" s="311">
        <f t="shared" ca="1" si="437"/>
        <v>0</v>
      </c>
      <c r="V968" s="306">
        <f t="shared" ca="1" si="438"/>
        <v>1.2257231953784296</v>
      </c>
      <c r="W968" s="304">
        <f t="shared" ca="1" si="439"/>
        <v>56.580537728456747</v>
      </c>
      <c r="Y968" s="314" t="str">
        <f t="shared" ca="1" si="457"/>
        <v/>
      </c>
      <c r="Z968" s="315" t="str">
        <f t="shared" ca="1" si="458"/>
        <v/>
      </c>
      <c r="AA968" s="316" t="str">
        <f t="shared" ca="1" si="459"/>
        <v/>
      </c>
      <c r="AC968" s="310" t="e">
        <f t="shared" ca="1" si="460"/>
        <v>#N/A</v>
      </c>
      <c r="AD968" s="323" t="e">
        <f t="shared" ca="1" si="461"/>
        <v>#N/A</v>
      </c>
      <c r="AE968" s="324" t="e">
        <f t="shared" ca="1" si="440"/>
        <v>#N/A</v>
      </c>
      <c r="AG968" s="306">
        <f t="shared" ca="1" si="462"/>
        <v>2.2322827393923923</v>
      </c>
      <c r="AH968" s="304">
        <f t="shared" ca="1" si="463"/>
        <v>-7.5621855004079652</v>
      </c>
    </row>
    <row r="969" spans="1:34" x14ac:dyDescent="0.2">
      <c r="A969" s="347">
        <f t="shared" ca="1" si="441"/>
        <v>1E-4</v>
      </c>
      <c r="B969" s="304">
        <f t="shared" ca="1" si="442"/>
        <v>37.72280000000098</v>
      </c>
      <c r="D969" s="306">
        <f t="shared" ca="1" si="443"/>
        <v>-0.42536819265769094</v>
      </c>
      <c r="E969" s="307">
        <f t="shared" ca="1" si="444"/>
        <v>-2.2597517411109607</v>
      </c>
      <c r="F969" s="304">
        <f t="shared" ca="1" si="445"/>
        <v>2.2994381989474926</v>
      </c>
      <c r="G969" s="306">
        <f t="shared" ca="1" si="446"/>
        <v>7.4326390196040109</v>
      </c>
      <c r="H969" s="307">
        <f t="shared" ca="1" si="447"/>
        <v>-131.92967427179897</v>
      </c>
      <c r="I969" s="304">
        <f t="shared" ca="1" si="448"/>
        <v>132.1388779892531</v>
      </c>
      <c r="J969" s="306">
        <f t="shared" ca="1" si="449"/>
        <v>515.22511340180665</v>
      </c>
      <c r="K969" s="307">
        <f t="shared" ca="1" si="450"/>
        <v>-5.915086566906762</v>
      </c>
      <c r="L969" s="304">
        <f t="shared" ca="1" si="435"/>
        <v>515.25906661503643</v>
      </c>
      <c r="M969" s="306">
        <f t="shared" ca="1" si="451"/>
        <v>-1.5145179316929371</v>
      </c>
      <c r="N969" s="304">
        <f t="shared" ca="1" si="452"/>
        <v>-86.775485482888001</v>
      </c>
      <c r="P969" s="310">
        <f t="shared" ca="1" si="453"/>
        <v>23</v>
      </c>
      <c r="Q969" s="304">
        <f t="shared" ca="1" si="454"/>
        <v>0</v>
      </c>
      <c r="R969" s="306">
        <f t="shared" ca="1" si="455"/>
        <v>0</v>
      </c>
      <c r="S969" s="307">
        <f t="shared" ca="1" si="456"/>
        <v>7.4819999999999904</v>
      </c>
      <c r="T969" s="304">
        <f t="shared" ca="1" si="436"/>
        <v>73.398419999999916</v>
      </c>
      <c r="U969" s="311">
        <f t="shared" ca="1" si="437"/>
        <v>0</v>
      </c>
      <c r="V969" s="306">
        <f t="shared" ca="1" si="438"/>
        <v>1.2257248124708717</v>
      </c>
      <c r="W969" s="304">
        <f t="shared" ca="1" si="439"/>
        <v>56.580803540892205</v>
      </c>
      <c r="Y969" s="314" t="str">
        <f t="shared" ca="1" si="457"/>
        <v/>
      </c>
      <c r="Z969" s="315" t="str">
        <f t="shared" ca="1" si="458"/>
        <v/>
      </c>
      <c r="AA969" s="316" t="str">
        <f t="shared" ca="1" si="459"/>
        <v/>
      </c>
      <c r="AC969" s="310" t="e">
        <f t="shared" ca="1" si="460"/>
        <v>#N/A</v>
      </c>
      <c r="AD969" s="323" t="e">
        <f t="shared" ca="1" si="461"/>
        <v>#N/A</v>
      </c>
      <c r="AE969" s="324" t="e">
        <f t="shared" ca="1" si="440"/>
        <v>#N/A</v>
      </c>
      <c r="AG969" s="306">
        <f t="shared" ca="1" si="462"/>
        <v>2.2322474426393333</v>
      </c>
      <c r="AH969" s="304">
        <f t="shared" ca="1" si="463"/>
        <v>-7.5622210275938011</v>
      </c>
    </row>
    <row r="970" spans="1:34" x14ac:dyDescent="0.2">
      <c r="A970" s="347">
        <f t="shared" ca="1" si="441"/>
        <v>1E-4</v>
      </c>
      <c r="B970" s="304">
        <f t="shared" ca="1" si="442"/>
        <v>37.722900000000983</v>
      </c>
      <c r="D970" s="306">
        <f t="shared" ca="1" si="443"/>
        <v>-0.42536703806374609</v>
      </c>
      <c r="E970" s="307">
        <f t="shared" ca="1" si="444"/>
        <v>-2.259716092804438</v>
      </c>
      <c r="F970" s="304">
        <f t="shared" ca="1" si="445"/>
        <v>2.2994029523227284</v>
      </c>
      <c r="G970" s="306">
        <f t="shared" ca="1" si="446"/>
        <v>7.4325964829002045</v>
      </c>
      <c r="H970" s="307">
        <f t="shared" ca="1" si="447"/>
        <v>-131.92990024340824</v>
      </c>
      <c r="I970" s="304">
        <f t="shared" ca="1" si="448"/>
        <v>132.13910121047923</v>
      </c>
      <c r="J970" s="306">
        <f t="shared" ca="1" si="449"/>
        <v>515.22511340180665</v>
      </c>
      <c r="K970" s="307">
        <f t="shared" ca="1" si="450"/>
        <v>-5.9282795456325221</v>
      </c>
      <c r="L970" s="304">
        <f t="shared" ca="1" si="435"/>
        <v>515.25921823706926</v>
      </c>
      <c r="M970" s="306">
        <f t="shared" ca="1" si="451"/>
        <v>-1.5145183492829322</v>
      </c>
      <c r="N970" s="304">
        <f t="shared" ca="1" si="452"/>
        <v>-86.775509409032281</v>
      </c>
      <c r="P970" s="310">
        <f t="shared" ca="1" si="453"/>
        <v>23</v>
      </c>
      <c r="Q970" s="304">
        <f t="shared" ca="1" si="454"/>
        <v>0</v>
      </c>
      <c r="R970" s="306">
        <f t="shared" ca="1" si="455"/>
        <v>0</v>
      </c>
      <c r="S970" s="307">
        <f t="shared" ca="1" si="456"/>
        <v>7.4819999999999904</v>
      </c>
      <c r="T970" s="304">
        <f t="shared" ca="1" si="436"/>
        <v>73.398419999999916</v>
      </c>
      <c r="U970" s="311">
        <f t="shared" ca="1" si="437"/>
        <v>0</v>
      </c>
      <c r="V970" s="306">
        <f t="shared" ca="1" si="438"/>
        <v>1.2257264295682175</v>
      </c>
      <c r="W970" s="304">
        <f t="shared" ca="1" si="439"/>
        <v>56.581069351358572</v>
      </c>
      <c r="Y970" s="314" t="str">
        <f t="shared" ca="1" si="457"/>
        <v/>
      </c>
      <c r="Z970" s="315" t="str">
        <f t="shared" ca="1" si="458"/>
        <v/>
      </c>
      <c r="AA970" s="316" t="str">
        <f t="shared" ca="1" si="459"/>
        <v/>
      </c>
      <c r="AC970" s="310" t="e">
        <f t="shared" ca="1" si="460"/>
        <v>#N/A</v>
      </c>
      <c r="AD970" s="323" t="e">
        <f t="shared" ca="1" si="461"/>
        <v>#N/A</v>
      </c>
      <c r="AE970" s="324" t="e">
        <f t="shared" ca="1" si="440"/>
        <v>#N/A</v>
      </c>
      <c r="AG970" s="306">
        <f t="shared" ca="1" si="462"/>
        <v>2.2322121461456259</v>
      </c>
      <c r="AH970" s="304">
        <f t="shared" ca="1" si="463"/>
        <v>-7.5622565545164768</v>
      </c>
    </row>
    <row r="971" spans="1:34" x14ac:dyDescent="0.2">
      <c r="A971" s="347">
        <f t="shared" ca="1" si="441"/>
        <v>1E-4</v>
      </c>
      <c r="B971" s="304">
        <f t="shared" ca="1" si="442"/>
        <v>37.723000000000987</v>
      </c>
      <c r="D971" s="306">
        <f t="shared" ca="1" si="443"/>
        <v>-0.42536588345399756</v>
      </c>
      <c r="E971" s="307">
        <f t="shared" ca="1" si="444"/>
        <v>-2.2596804447619405</v>
      </c>
      <c r="F971" s="304">
        <f t="shared" ca="1" si="445"/>
        <v>2.2993677059674731</v>
      </c>
      <c r="G971" s="306">
        <f t="shared" ca="1" si="446"/>
        <v>7.4325539463118595</v>
      </c>
      <c r="H971" s="307">
        <f t="shared" ca="1" si="447"/>
        <v>-131.93012621145272</v>
      </c>
      <c r="I971" s="304">
        <f t="shared" ca="1" si="448"/>
        <v>132.13932442817571</v>
      </c>
      <c r="J971" s="306">
        <f t="shared" ca="1" si="449"/>
        <v>515.22511340180665</v>
      </c>
      <c r="K971" s="307">
        <f t="shared" ca="1" si="450"/>
        <v>-5.9414725469552652</v>
      </c>
      <c r="L971" s="304">
        <f t="shared" ca="1" si="435"/>
        <v>515.25937019711807</v>
      </c>
      <c r="M971" s="306">
        <f t="shared" ca="1" si="451"/>
        <v>-1.5145187668691267</v>
      </c>
      <c r="N971" s="304">
        <f t="shared" ca="1" si="452"/>
        <v>-86.775533334958808</v>
      </c>
      <c r="P971" s="310">
        <f t="shared" ca="1" si="453"/>
        <v>23</v>
      </c>
      <c r="Q971" s="304">
        <f t="shared" ca="1" si="454"/>
        <v>0</v>
      </c>
      <c r="R971" s="306">
        <f t="shared" ca="1" si="455"/>
        <v>0</v>
      </c>
      <c r="S971" s="307">
        <f t="shared" ca="1" si="456"/>
        <v>7.4819999999999904</v>
      </c>
      <c r="T971" s="304">
        <f t="shared" ca="1" si="436"/>
        <v>73.398419999999916</v>
      </c>
      <c r="U971" s="311">
        <f t="shared" ca="1" si="437"/>
        <v>0</v>
      </c>
      <c r="V971" s="306">
        <f t="shared" ca="1" si="438"/>
        <v>1.2257280466704672</v>
      </c>
      <c r="W971" s="304">
        <f t="shared" ca="1" si="439"/>
        <v>56.581335159855911</v>
      </c>
      <c r="Y971" s="314" t="str">
        <f t="shared" ca="1" si="457"/>
        <v/>
      </c>
      <c r="Z971" s="315" t="str">
        <f t="shared" ca="1" si="458"/>
        <v/>
      </c>
      <c r="AA971" s="316" t="str">
        <f t="shared" ca="1" si="459"/>
        <v/>
      </c>
      <c r="AC971" s="310" t="e">
        <f t="shared" ca="1" si="460"/>
        <v>#N/A</v>
      </c>
      <c r="AD971" s="323" t="e">
        <f t="shared" ca="1" si="461"/>
        <v>#N/A</v>
      </c>
      <c r="AE971" s="324" t="e">
        <f t="shared" ca="1" si="440"/>
        <v>#N/A</v>
      </c>
      <c r="AG971" s="306">
        <f t="shared" ca="1" si="462"/>
        <v>2.2321768499112951</v>
      </c>
      <c r="AH971" s="304">
        <f t="shared" ca="1" si="463"/>
        <v>-7.5622920811759746</v>
      </c>
    </row>
    <row r="972" spans="1:34" x14ac:dyDescent="0.2">
      <c r="A972" s="347">
        <f t="shared" ca="1" si="441"/>
        <v>1E-4</v>
      </c>
      <c r="B972" s="304">
        <f t="shared" ca="1" si="442"/>
        <v>37.72310000000099</v>
      </c>
      <c r="D972" s="306">
        <f t="shared" ca="1" si="443"/>
        <v>-0.42536472882844328</v>
      </c>
      <c r="E972" s="307">
        <f t="shared" ca="1" si="444"/>
        <v>-2.2596447969834594</v>
      </c>
      <c r="F972" s="304">
        <f t="shared" ca="1" si="445"/>
        <v>2.2993324598817182</v>
      </c>
      <c r="G972" s="306">
        <f t="shared" ca="1" si="446"/>
        <v>7.4325114098389768</v>
      </c>
      <c r="H972" s="307">
        <f t="shared" ca="1" si="447"/>
        <v>-131.93035217593243</v>
      </c>
      <c r="I972" s="304">
        <f t="shared" ca="1" si="448"/>
        <v>132.13954764234265</v>
      </c>
      <c r="J972" s="306">
        <f t="shared" ca="1" si="449"/>
        <v>515.22511340180665</v>
      </c>
      <c r="K972" s="307">
        <f t="shared" ca="1" si="450"/>
        <v>-5.9546655708746341</v>
      </c>
      <c r="L972" s="304">
        <f t="shared" ca="1" si="435"/>
        <v>515.25952249518446</v>
      </c>
      <c r="M972" s="306">
        <f t="shared" ca="1" si="451"/>
        <v>-1.5145191844515205</v>
      </c>
      <c r="N972" s="304">
        <f t="shared" ca="1" si="452"/>
        <v>-86.775557260667568</v>
      </c>
      <c r="P972" s="310">
        <f t="shared" ca="1" si="453"/>
        <v>23</v>
      </c>
      <c r="Q972" s="304">
        <f t="shared" ca="1" si="454"/>
        <v>0</v>
      </c>
      <c r="R972" s="306">
        <f t="shared" ca="1" si="455"/>
        <v>0</v>
      </c>
      <c r="S972" s="307">
        <f t="shared" ca="1" si="456"/>
        <v>7.4819999999999904</v>
      </c>
      <c r="T972" s="304">
        <f t="shared" ca="1" si="436"/>
        <v>73.398419999999916</v>
      </c>
      <c r="U972" s="311">
        <f t="shared" ca="1" si="437"/>
        <v>0</v>
      </c>
      <c r="V972" s="306">
        <f t="shared" ca="1" si="438"/>
        <v>1.2257296637776212</v>
      </c>
      <c r="W972" s="304">
        <f t="shared" ca="1" si="439"/>
        <v>56.581600966384272</v>
      </c>
      <c r="Y972" s="314" t="str">
        <f t="shared" ca="1" si="457"/>
        <v/>
      </c>
      <c r="Z972" s="315" t="str">
        <f t="shared" ca="1" si="458"/>
        <v/>
      </c>
      <c r="AA972" s="316" t="str">
        <f t="shared" ca="1" si="459"/>
        <v/>
      </c>
      <c r="AC972" s="310" t="e">
        <f t="shared" ca="1" si="460"/>
        <v>#N/A</v>
      </c>
      <c r="AD972" s="323" t="e">
        <f t="shared" ca="1" si="461"/>
        <v>#N/A</v>
      </c>
      <c r="AE972" s="324" t="e">
        <f t="shared" ca="1" si="440"/>
        <v>#N/A</v>
      </c>
      <c r="AG972" s="306">
        <f t="shared" ca="1" si="462"/>
        <v>2.2321415539363274</v>
      </c>
      <c r="AH972" s="304">
        <f t="shared" ca="1" si="463"/>
        <v>-7.5623276075723043</v>
      </c>
    </row>
    <row r="973" spans="1:34" x14ac:dyDescent="0.2">
      <c r="A973" s="347">
        <f t="shared" ca="1" si="441"/>
        <v>1E-4</v>
      </c>
      <c r="B973" s="304">
        <f t="shared" ca="1" si="442"/>
        <v>37.723200000000993</v>
      </c>
      <c r="D973" s="306">
        <f t="shared" ca="1" si="443"/>
        <v>-0.42536357418708604</v>
      </c>
      <c r="E973" s="307">
        <f t="shared" ca="1" si="444"/>
        <v>-2.2596091494689876</v>
      </c>
      <c r="F973" s="304">
        <f t="shared" ca="1" si="445"/>
        <v>2.2992972140654575</v>
      </c>
      <c r="G973" s="306">
        <f t="shared" ca="1" si="446"/>
        <v>7.4324688734815583</v>
      </c>
      <c r="H973" s="307">
        <f t="shared" ca="1" si="447"/>
        <v>-131.93057813684737</v>
      </c>
      <c r="I973" s="304">
        <f t="shared" ca="1" si="448"/>
        <v>132.13977085298001</v>
      </c>
      <c r="J973" s="306">
        <f t="shared" ca="1" si="449"/>
        <v>515.22511340180665</v>
      </c>
      <c r="K973" s="307">
        <f t="shared" ca="1" si="450"/>
        <v>-5.9678586173902728</v>
      </c>
      <c r="L973" s="304">
        <f t="shared" ca="1" si="435"/>
        <v>515.25967513126977</v>
      </c>
      <c r="M973" s="306">
        <f t="shared" ca="1" si="451"/>
        <v>-1.5145196020301137</v>
      </c>
      <c r="N973" s="304">
        <f t="shared" ca="1" si="452"/>
        <v>-86.775581186158576</v>
      </c>
      <c r="P973" s="310">
        <f t="shared" ca="1" si="453"/>
        <v>23</v>
      </c>
      <c r="Q973" s="304">
        <f t="shared" ca="1" si="454"/>
        <v>0</v>
      </c>
      <c r="R973" s="306">
        <f t="shared" ca="1" si="455"/>
        <v>0</v>
      </c>
      <c r="S973" s="307">
        <f t="shared" ca="1" si="456"/>
        <v>7.4819999999999904</v>
      </c>
      <c r="T973" s="304">
        <f t="shared" ca="1" si="436"/>
        <v>73.398419999999916</v>
      </c>
      <c r="U973" s="311">
        <f t="shared" ca="1" si="437"/>
        <v>0</v>
      </c>
      <c r="V973" s="306">
        <f t="shared" ca="1" si="438"/>
        <v>1.2257312808896783</v>
      </c>
      <c r="W973" s="304">
        <f t="shared" ca="1" si="439"/>
        <v>56.581866770943584</v>
      </c>
      <c r="Y973" s="314" t="str">
        <f t="shared" ca="1" si="457"/>
        <v/>
      </c>
      <c r="Z973" s="315" t="str">
        <f t="shared" ca="1" si="458"/>
        <v/>
      </c>
      <c r="AA973" s="316" t="str">
        <f t="shared" ca="1" si="459"/>
        <v/>
      </c>
      <c r="AC973" s="310" t="e">
        <f t="shared" ca="1" si="460"/>
        <v>#N/A</v>
      </c>
      <c r="AD973" s="323" t="e">
        <f t="shared" ca="1" si="461"/>
        <v>#N/A</v>
      </c>
      <c r="AE973" s="324" t="e">
        <f t="shared" ca="1" si="440"/>
        <v>#N/A</v>
      </c>
      <c r="AG973" s="306">
        <f t="shared" ca="1" si="462"/>
        <v>2.232106258220715</v>
      </c>
      <c r="AH973" s="304">
        <f t="shared" ca="1" si="463"/>
        <v>-7.562363133705472</v>
      </c>
    </row>
    <row r="974" spans="1:34" x14ac:dyDescent="0.2">
      <c r="A974" s="347">
        <f t="shared" ca="1" si="441"/>
        <v>1E-4</v>
      </c>
      <c r="B974" s="304">
        <f t="shared" ca="1" si="442"/>
        <v>37.723300000000997</v>
      </c>
      <c r="D974" s="306">
        <f t="shared" ca="1" si="443"/>
        <v>-0.42536241952992432</v>
      </c>
      <c r="E974" s="307">
        <f t="shared" ca="1" si="444"/>
        <v>-2.2595735022185339</v>
      </c>
      <c r="F974" s="304">
        <f t="shared" ca="1" si="445"/>
        <v>2.299261968518699</v>
      </c>
      <c r="G974" s="306">
        <f t="shared" ca="1" si="446"/>
        <v>7.4324263372396056</v>
      </c>
      <c r="H974" s="307">
        <f t="shared" ca="1" si="447"/>
        <v>-131.93080409419758</v>
      </c>
      <c r="I974" s="304">
        <f t="shared" ca="1" si="448"/>
        <v>132.13999406008779</v>
      </c>
      <c r="J974" s="306">
        <f t="shared" ca="1" si="449"/>
        <v>515.22511340180665</v>
      </c>
      <c r="K974" s="307">
        <f t="shared" ca="1" si="450"/>
        <v>-5.9810516865018251</v>
      </c>
      <c r="L974" s="304">
        <f t="shared" ca="1" si="435"/>
        <v>515.2598281053755</v>
      </c>
      <c r="M974" s="306">
        <f t="shared" ca="1" si="451"/>
        <v>-1.5145200196049065</v>
      </c>
      <c r="N974" s="304">
        <f t="shared" ca="1" si="452"/>
        <v>-86.775605111431844</v>
      </c>
      <c r="P974" s="310">
        <f t="shared" ca="1" si="453"/>
        <v>23</v>
      </c>
      <c r="Q974" s="304">
        <f t="shared" ca="1" si="454"/>
        <v>0</v>
      </c>
      <c r="R974" s="306">
        <f t="shared" ca="1" si="455"/>
        <v>0</v>
      </c>
      <c r="S974" s="307">
        <f t="shared" ca="1" si="456"/>
        <v>7.4819999999999904</v>
      </c>
      <c r="T974" s="304">
        <f t="shared" ca="1" si="436"/>
        <v>73.398419999999916</v>
      </c>
      <c r="U974" s="311">
        <f t="shared" ca="1" si="437"/>
        <v>0</v>
      </c>
      <c r="V974" s="306">
        <f t="shared" ca="1" si="438"/>
        <v>1.2257328980066398</v>
      </c>
      <c r="W974" s="304">
        <f t="shared" ca="1" si="439"/>
        <v>56.582132573533833</v>
      </c>
      <c r="Y974" s="314" t="str">
        <f t="shared" ca="1" si="457"/>
        <v/>
      </c>
      <c r="Z974" s="315" t="str">
        <f t="shared" ca="1" si="458"/>
        <v/>
      </c>
      <c r="AA974" s="316" t="str">
        <f t="shared" ca="1" si="459"/>
        <v/>
      </c>
      <c r="AC974" s="310" t="e">
        <f t="shared" ca="1" si="460"/>
        <v>#N/A</v>
      </c>
      <c r="AD974" s="323" t="e">
        <f t="shared" ca="1" si="461"/>
        <v>#N/A</v>
      </c>
      <c r="AE974" s="324" t="e">
        <f t="shared" ca="1" si="440"/>
        <v>#N/A</v>
      </c>
      <c r="AG974" s="306">
        <f t="shared" ca="1" si="462"/>
        <v>2.2320709627644684</v>
      </c>
      <c r="AH974" s="304">
        <f t="shared" ca="1" si="463"/>
        <v>-7.5623986595754689</v>
      </c>
    </row>
    <row r="975" spans="1:34" x14ac:dyDescent="0.2">
      <c r="A975" s="347">
        <f t="shared" ca="1" si="441"/>
        <v>1E-4</v>
      </c>
      <c r="B975" s="304">
        <f t="shared" ca="1" si="442"/>
        <v>37.723400000001</v>
      </c>
      <c r="D975" s="306">
        <f t="shared" ca="1" si="443"/>
        <v>-0.42536126485695863</v>
      </c>
      <c r="E975" s="307">
        <f t="shared" ca="1" si="444"/>
        <v>-2.2595378552321028</v>
      </c>
      <c r="F975" s="304">
        <f t="shared" ca="1" si="445"/>
        <v>2.2992267232414472</v>
      </c>
      <c r="G975" s="306">
        <f t="shared" ca="1" si="446"/>
        <v>7.4323838011131196</v>
      </c>
      <c r="H975" s="307">
        <f t="shared" ca="1" si="447"/>
        <v>-131.93103004798311</v>
      </c>
      <c r="I975" s="304">
        <f t="shared" ca="1" si="448"/>
        <v>132.14021726366607</v>
      </c>
      <c r="J975" s="306">
        <f t="shared" ca="1" si="449"/>
        <v>515.22511340180665</v>
      </c>
      <c r="K975" s="307">
        <f t="shared" ca="1" si="450"/>
        <v>-5.9942447782089339</v>
      </c>
      <c r="L975" s="304">
        <f t="shared" ca="1" si="435"/>
        <v>515.25998141750313</v>
      </c>
      <c r="M975" s="306">
        <f t="shared" ca="1" si="451"/>
        <v>-1.5145204371758987</v>
      </c>
      <c r="N975" s="304">
        <f t="shared" ca="1" si="452"/>
        <v>-86.775629036487345</v>
      </c>
      <c r="P975" s="310">
        <f t="shared" ca="1" si="453"/>
        <v>23</v>
      </c>
      <c r="Q975" s="304">
        <f t="shared" ca="1" si="454"/>
        <v>0</v>
      </c>
      <c r="R975" s="306">
        <f t="shared" ca="1" si="455"/>
        <v>0</v>
      </c>
      <c r="S975" s="307">
        <f t="shared" ca="1" si="456"/>
        <v>7.4819999999999904</v>
      </c>
      <c r="T975" s="304">
        <f t="shared" ca="1" si="436"/>
        <v>73.398419999999916</v>
      </c>
      <c r="U975" s="311">
        <f t="shared" ca="1" si="437"/>
        <v>0</v>
      </c>
      <c r="V975" s="306">
        <f t="shared" ca="1" si="438"/>
        <v>1.2257345151285044</v>
      </c>
      <c r="W975" s="304">
        <f t="shared" ca="1" si="439"/>
        <v>56.582398374155062</v>
      </c>
      <c r="Y975" s="314" t="str">
        <f t="shared" ca="1" si="457"/>
        <v/>
      </c>
      <c r="Z975" s="315" t="str">
        <f t="shared" ca="1" si="458"/>
        <v/>
      </c>
      <c r="AA975" s="316" t="str">
        <f t="shared" ca="1" si="459"/>
        <v/>
      </c>
      <c r="AC975" s="310" t="e">
        <f t="shared" ca="1" si="460"/>
        <v>#N/A</v>
      </c>
      <c r="AD975" s="323" t="e">
        <f t="shared" ca="1" si="461"/>
        <v>#N/A</v>
      </c>
      <c r="AE975" s="324" t="e">
        <f t="shared" ca="1" si="440"/>
        <v>#N/A</v>
      </c>
      <c r="AG975" s="306">
        <f t="shared" ca="1" si="462"/>
        <v>2.2320356675675912</v>
      </c>
      <c r="AH975" s="304">
        <f t="shared" ca="1" si="463"/>
        <v>-7.5624341851822914</v>
      </c>
    </row>
    <row r="976" spans="1:34" x14ac:dyDescent="0.2">
      <c r="A976" s="347">
        <f t="shared" ca="1" si="441"/>
        <v>1E-4</v>
      </c>
      <c r="B976" s="304">
        <f t="shared" ca="1" si="442"/>
        <v>37.723500000001003</v>
      </c>
      <c r="D976" s="306">
        <f t="shared" ca="1" si="443"/>
        <v>-0.42536011016819025</v>
      </c>
      <c r="E976" s="307">
        <f t="shared" ca="1" si="444"/>
        <v>-2.2595022085096872</v>
      </c>
      <c r="F976" s="304">
        <f t="shared" ca="1" si="445"/>
        <v>2.2991914782336962</v>
      </c>
      <c r="G976" s="306">
        <f t="shared" ca="1" si="446"/>
        <v>7.432341265102103</v>
      </c>
      <c r="H976" s="307">
        <f t="shared" ca="1" si="447"/>
        <v>-131.93125599820397</v>
      </c>
      <c r="I976" s="304">
        <f t="shared" ca="1" si="448"/>
        <v>132.14044046371484</v>
      </c>
      <c r="J976" s="306">
        <f t="shared" ca="1" si="449"/>
        <v>515.22511340180665</v>
      </c>
      <c r="K976" s="307">
        <f t="shared" ca="1" si="450"/>
        <v>-6.007437892511243</v>
      </c>
      <c r="L976" s="304">
        <f t="shared" ca="1" si="435"/>
        <v>515.26013506765389</v>
      </c>
      <c r="M976" s="306">
        <f t="shared" ca="1" si="451"/>
        <v>-1.5145208547430904</v>
      </c>
      <c r="N976" s="304">
        <f t="shared" ca="1" si="452"/>
        <v>-86.775652961325093</v>
      </c>
      <c r="P976" s="310">
        <f t="shared" ca="1" si="453"/>
        <v>23</v>
      </c>
      <c r="Q976" s="304">
        <f t="shared" ca="1" si="454"/>
        <v>0</v>
      </c>
      <c r="R976" s="306">
        <f t="shared" ca="1" si="455"/>
        <v>0</v>
      </c>
      <c r="S976" s="307">
        <f t="shared" ca="1" si="456"/>
        <v>7.4819999999999904</v>
      </c>
      <c r="T976" s="304">
        <f t="shared" ca="1" si="436"/>
        <v>73.398419999999916</v>
      </c>
      <c r="U976" s="311">
        <f t="shared" ca="1" si="437"/>
        <v>0</v>
      </c>
      <c r="V976" s="306">
        <f t="shared" ca="1" si="438"/>
        <v>1.2257361322552731</v>
      </c>
      <c r="W976" s="304">
        <f t="shared" ca="1" si="439"/>
        <v>56.58266417280722</v>
      </c>
      <c r="Y976" s="314" t="str">
        <f t="shared" ca="1" si="457"/>
        <v/>
      </c>
      <c r="Z976" s="315" t="str">
        <f t="shared" ca="1" si="458"/>
        <v/>
      </c>
      <c r="AA976" s="316" t="str">
        <f t="shared" ca="1" si="459"/>
        <v/>
      </c>
      <c r="AC976" s="310" t="e">
        <f t="shared" ca="1" si="460"/>
        <v>#N/A</v>
      </c>
      <c r="AD976" s="323" t="e">
        <f t="shared" ca="1" si="461"/>
        <v>#N/A</v>
      </c>
      <c r="AE976" s="324" t="e">
        <f t="shared" ca="1" si="440"/>
        <v>#N/A</v>
      </c>
      <c r="AG976" s="306">
        <f t="shared" ca="1" si="462"/>
        <v>2.2320003726300799</v>
      </c>
      <c r="AH976" s="304">
        <f t="shared" ca="1" si="463"/>
        <v>-7.5624697105259466</v>
      </c>
    </row>
    <row r="977" spans="1:34" x14ac:dyDescent="0.2">
      <c r="A977" s="347">
        <f t="shared" ca="1" si="441"/>
        <v>1E-4</v>
      </c>
      <c r="B977" s="304">
        <f t="shared" ca="1" si="442"/>
        <v>37.723600000001007</v>
      </c>
      <c r="D977" s="306">
        <f t="shared" ca="1" si="443"/>
        <v>-0.42535895546361946</v>
      </c>
      <c r="E977" s="307">
        <f t="shared" ca="1" si="444"/>
        <v>-2.2594665620512933</v>
      </c>
      <c r="F977" s="304">
        <f t="shared" ca="1" si="445"/>
        <v>2.2991562334954514</v>
      </c>
      <c r="G977" s="306">
        <f t="shared" ca="1" si="446"/>
        <v>7.4322987292065568</v>
      </c>
      <c r="H977" s="307">
        <f t="shared" ca="1" si="447"/>
        <v>-131.93148194486017</v>
      </c>
      <c r="I977" s="304">
        <f t="shared" ca="1" si="448"/>
        <v>132.14066366023417</v>
      </c>
      <c r="J977" s="306">
        <f t="shared" ca="1" si="449"/>
        <v>515.22511340180665</v>
      </c>
      <c r="K977" s="307">
        <f t="shared" ca="1" si="450"/>
        <v>-6.0206310294083965</v>
      </c>
      <c r="L977" s="304">
        <f t="shared" ca="1" si="435"/>
        <v>515.26028905582939</v>
      </c>
      <c r="M977" s="306">
        <f t="shared" ca="1" si="451"/>
        <v>-1.5145212723064818</v>
      </c>
      <c r="N977" s="304">
        <f t="shared" ca="1" si="452"/>
        <v>-86.775676885945089</v>
      </c>
      <c r="P977" s="310">
        <f t="shared" ca="1" si="453"/>
        <v>23</v>
      </c>
      <c r="Q977" s="304">
        <f t="shared" ca="1" si="454"/>
        <v>0</v>
      </c>
      <c r="R977" s="306">
        <f t="shared" ca="1" si="455"/>
        <v>0</v>
      </c>
      <c r="S977" s="307">
        <f t="shared" ca="1" si="456"/>
        <v>7.4819999999999904</v>
      </c>
      <c r="T977" s="304">
        <f t="shared" ca="1" si="436"/>
        <v>73.398419999999916</v>
      </c>
      <c r="U977" s="311">
        <f t="shared" ca="1" si="437"/>
        <v>0</v>
      </c>
      <c r="V977" s="306">
        <f t="shared" ca="1" si="438"/>
        <v>1.2257377493869452</v>
      </c>
      <c r="W977" s="304">
        <f t="shared" ca="1" si="439"/>
        <v>56.582929969490365</v>
      </c>
      <c r="Y977" s="314" t="str">
        <f t="shared" ca="1" si="457"/>
        <v/>
      </c>
      <c r="Z977" s="315" t="str">
        <f t="shared" ca="1" si="458"/>
        <v/>
      </c>
      <c r="AA977" s="316" t="str">
        <f t="shared" ca="1" si="459"/>
        <v/>
      </c>
      <c r="AC977" s="310" t="e">
        <f t="shared" ca="1" si="460"/>
        <v>#N/A</v>
      </c>
      <c r="AD977" s="323" t="e">
        <f t="shared" ca="1" si="461"/>
        <v>#N/A</v>
      </c>
      <c r="AE977" s="324" t="e">
        <f t="shared" ca="1" si="440"/>
        <v>#N/A</v>
      </c>
      <c r="AG977" s="306">
        <f t="shared" ca="1" si="462"/>
        <v>2.2319650779519327</v>
      </c>
      <c r="AH977" s="304">
        <f t="shared" ca="1" si="463"/>
        <v>-7.5625052356064275</v>
      </c>
    </row>
    <row r="978" spans="1:34" x14ac:dyDescent="0.2">
      <c r="A978" s="347">
        <f t="shared" ca="1" si="441"/>
        <v>1E-4</v>
      </c>
      <c r="B978" s="304">
        <f t="shared" ca="1" si="442"/>
        <v>37.72370000000101</v>
      </c>
      <c r="D978" s="306">
        <f t="shared" ca="1" si="443"/>
        <v>-0.4253578007432457</v>
      </c>
      <c r="E978" s="307">
        <f t="shared" ca="1" si="444"/>
        <v>-2.259430915856913</v>
      </c>
      <c r="F978" s="304">
        <f t="shared" ca="1" si="445"/>
        <v>2.2991209890267061</v>
      </c>
      <c r="G978" s="306">
        <f t="shared" ca="1" si="446"/>
        <v>7.4322561934264826</v>
      </c>
      <c r="H978" s="307">
        <f t="shared" ca="1" si="447"/>
        <v>-131.93170788795175</v>
      </c>
      <c r="I978" s="304">
        <f t="shared" ca="1" si="448"/>
        <v>132.14088685322403</v>
      </c>
      <c r="J978" s="306">
        <f t="shared" ca="1" si="449"/>
        <v>515.22511340180665</v>
      </c>
      <c r="K978" s="307">
        <f t="shared" ca="1" si="450"/>
        <v>-6.033824188900037</v>
      </c>
      <c r="L978" s="304">
        <f t="shared" ca="1" si="435"/>
        <v>515.26044338203087</v>
      </c>
      <c r="M978" s="306">
        <f t="shared" ca="1" si="451"/>
        <v>-1.5145216898660729</v>
      </c>
      <c r="N978" s="304">
        <f t="shared" ca="1" si="452"/>
        <v>-86.775700810347359</v>
      </c>
      <c r="P978" s="310">
        <f t="shared" ca="1" si="453"/>
        <v>23</v>
      </c>
      <c r="Q978" s="304">
        <f t="shared" ca="1" si="454"/>
        <v>0</v>
      </c>
      <c r="R978" s="306">
        <f t="shared" ca="1" si="455"/>
        <v>0</v>
      </c>
      <c r="S978" s="307">
        <f t="shared" ca="1" si="456"/>
        <v>7.4819999999999904</v>
      </c>
      <c r="T978" s="304">
        <f t="shared" ca="1" si="436"/>
        <v>73.398419999999916</v>
      </c>
      <c r="U978" s="311">
        <f t="shared" ca="1" si="437"/>
        <v>0</v>
      </c>
      <c r="V978" s="306">
        <f t="shared" ca="1" si="438"/>
        <v>1.225739366523521</v>
      </c>
      <c r="W978" s="304">
        <f t="shared" ca="1" si="439"/>
        <v>56.583195764204433</v>
      </c>
      <c r="Y978" s="314" t="str">
        <f t="shared" ca="1" si="457"/>
        <v/>
      </c>
      <c r="Z978" s="315" t="str">
        <f t="shared" ca="1" si="458"/>
        <v/>
      </c>
      <c r="AA978" s="316" t="str">
        <f t="shared" ca="1" si="459"/>
        <v/>
      </c>
      <c r="AC978" s="310" t="e">
        <f t="shared" ca="1" si="460"/>
        <v>#N/A</v>
      </c>
      <c r="AD978" s="323" t="e">
        <f t="shared" ca="1" si="461"/>
        <v>#N/A</v>
      </c>
      <c r="AE978" s="324" t="e">
        <f t="shared" ca="1" si="440"/>
        <v>#N/A</v>
      </c>
      <c r="AG978" s="306">
        <f t="shared" ca="1" si="462"/>
        <v>2.2319297835331504</v>
      </c>
      <c r="AH978" s="304">
        <f t="shared" ca="1" si="463"/>
        <v>-7.562540760423742</v>
      </c>
    </row>
    <row r="979" spans="1:34" x14ac:dyDescent="0.2">
      <c r="A979" s="347">
        <f t="shared" ca="1" si="441"/>
        <v>1E-4</v>
      </c>
      <c r="B979" s="304">
        <f t="shared" ca="1" si="442"/>
        <v>37.723800000001013</v>
      </c>
      <c r="D979" s="306">
        <f t="shared" ca="1" si="443"/>
        <v>-0.42535664600706924</v>
      </c>
      <c r="E979" s="307">
        <f t="shared" ca="1" si="444"/>
        <v>-2.2593952699265563</v>
      </c>
      <c r="F979" s="304">
        <f t="shared" ca="1" si="445"/>
        <v>2.2990857448274693</v>
      </c>
      <c r="G979" s="306">
        <f t="shared" ca="1" si="446"/>
        <v>7.4322136577618823</v>
      </c>
      <c r="H979" s="307">
        <f t="shared" ca="1" si="447"/>
        <v>-131.93193382747873</v>
      </c>
      <c r="I979" s="304">
        <f t="shared" ca="1" si="448"/>
        <v>132.14111004268446</v>
      </c>
      <c r="J979" s="306">
        <f t="shared" ca="1" si="449"/>
        <v>515.22511340180665</v>
      </c>
      <c r="K979" s="307">
        <f t="shared" ca="1" si="450"/>
        <v>-6.0470173709858086</v>
      </c>
      <c r="L979" s="304">
        <f t="shared" ca="1" si="435"/>
        <v>515.26059804626004</v>
      </c>
      <c r="M979" s="306">
        <f t="shared" ca="1" si="451"/>
        <v>-1.5145221074218636</v>
      </c>
      <c r="N979" s="304">
        <f t="shared" ca="1" si="452"/>
        <v>-86.775724734531877</v>
      </c>
      <c r="P979" s="310">
        <f t="shared" ca="1" si="453"/>
        <v>23</v>
      </c>
      <c r="Q979" s="304">
        <f t="shared" ca="1" si="454"/>
        <v>0</v>
      </c>
      <c r="R979" s="306">
        <f t="shared" ca="1" si="455"/>
        <v>0</v>
      </c>
      <c r="S979" s="307">
        <f t="shared" ca="1" si="456"/>
        <v>7.4819999999999904</v>
      </c>
      <c r="T979" s="304">
        <f t="shared" ca="1" si="436"/>
        <v>73.398419999999916</v>
      </c>
      <c r="U979" s="311">
        <f t="shared" ca="1" si="437"/>
        <v>0</v>
      </c>
      <c r="V979" s="306">
        <f t="shared" ca="1" si="438"/>
        <v>1.2257409836650006</v>
      </c>
      <c r="W979" s="304">
        <f t="shared" ca="1" si="439"/>
        <v>56.583461556949452</v>
      </c>
      <c r="Y979" s="314" t="str">
        <f t="shared" ca="1" si="457"/>
        <v/>
      </c>
      <c r="Z979" s="315" t="str">
        <f t="shared" ca="1" si="458"/>
        <v/>
      </c>
      <c r="AA979" s="316" t="str">
        <f t="shared" ca="1" si="459"/>
        <v/>
      </c>
      <c r="AC979" s="310" t="e">
        <f t="shared" ca="1" si="460"/>
        <v>#N/A</v>
      </c>
      <c r="AD979" s="323" t="e">
        <f t="shared" ca="1" si="461"/>
        <v>#N/A</v>
      </c>
      <c r="AE979" s="324" t="e">
        <f t="shared" ca="1" si="440"/>
        <v>#N/A</v>
      </c>
      <c r="AG979" s="306">
        <f t="shared" ca="1" si="462"/>
        <v>2.2318944893737385</v>
      </c>
      <c r="AH979" s="304">
        <f t="shared" ca="1" si="463"/>
        <v>-7.5625762849778813</v>
      </c>
    </row>
    <row r="980" spans="1:34" x14ac:dyDescent="0.2">
      <c r="A980" s="347">
        <f t="shared" ca="1" si="441"/>
        <v>1E-4</v>
      </c>
      <c r="B980" s="304">
        <f t="shared" ca="1" si="442"/>
        <v>37.723900000001017</v>
      </c>
      <c r="D980" s="306">
        <f t="shared" ca="1" si="443"/>
        <v>-0.4253554912550927</v>
      </c>
      <c r="E980" s="307">
        <f t="shared" ca="1" si="444"/>
        <v>-2.2593596242602194</v>
      </c>
      <c r="F980" s="304">
        <f t="shared" ca="1" si="445"/>
        <v>2.2990505008977382</v>
      </c>
      <c r="G980" s="306">
        <f t="shared" ca="1" si="446"/>
        <v>7.4321711222127567</v>
      </c>
      <c r="H980" s="307">
        <f t="shared" ca="1" si="447"/>
        <v>-131.93215976344115</v>
      </c>
      <c r="I980" s="304">
        <f t="shared" ca="1" si="448"/>
        <v>132.14133322861554</v>
      </c>
      <c r="J980" s="306">
        <f t="shared" ca="1" si="449"/>
        <v>515.22511340180665</v>
      </c>
      <c r="K980" s="307">
        <f t="shared" ca="1" si="450"/>
        <v>-6.060210575665355</v>
      </c>
      <c r="L980" s="304">
        <f t="shared" ca="1" si="435"/>
        <v>515.26075304851804</v>
      </c>
      <c r="M980" s="306">
        <f t="shared" ca="1" si="451"/>
        <v>-1.5145225249738543</v>
      </c>
      <c r="N980" s="304">
        <f t="shared" ca="1" si="452"/>
        <v>-86.775748658498671</v>
      </c>
      <c r="P980" s="310">
        <f t="shared" ca="1" si="453"/>
        <v>23</v>
      </c>
      <c r="Q980" s="304">
        <f t="shared" ca="1" si="454"/>
        <v>0</v>
      </c>
      <c r="R980" s="306">
        <f t="shared" ca="1" si="455"/>
        <v>0</v>
      </c>
      <c r="S980" s="307">
        <f t="shared" ca="1" si="456"/>
        <v>7.4819999999999904</v>
      </c>
      <c r="T980" s="304">
        <f t="shared" ca="1" si="436"/>
        <v>73.398419999999916</v>
      </c>
      <c r="U980" s="311">
        <f t="shared" ca="1" si="437"/>
        <v>0</v>
      </c>
      <c r="V980" s="306">
        <f t="shared" ca="1" si="438"/>
        <v>1.2257426008113836</v>
      </c>
      <c r="W980" s="304">
        <f t="shared" ca="1" si="439"/>
        <v>56.583727347725443</v>
      </c>
      <c r="Y980" s="314" t="str">
        <f t="shared" ca="1" si="457"/>
        <v/>
      </c>
      <c r="Z980" s="315" t="str">
        <f t="shared" ca="1" si="458"/>
        <v/>
      </c>
      <c r="AA980" s="316" t="str">
        <f t="shared" ca="1" si="459"/>
        <v/>
      </c>
      <c r="AC980" s="310" t="e">
        <f t="shared" ca="1" si="460"/>
        <v>#N/A</v>
      </c>
      <c r="AD980" s="323" t="e">
        <f t="shared" ca="1" si="461"/>
        <v>#N/A</v>
      </c>
      <c r="AE980" s="324" t="e">
        <f t="shared" ca="1" si="440"/>
        <v>#N/A</v>
      </c>
      <c r="AG980" s="306">
        <f t="shared" ca="1" si="462"/>
        <v>2.2318591954736915</v>
      </c>
      <c r="AH980" s="304">
        <f t="shared" ca="1" si="463"/>
        <v>-7.5626118092688488</v>
      </c>
    </row>
    <row r="981" spans="1:34" x14ac:dyDescent="0.2">
      <c r="A981" s="347">
        <f t="shared" ca="1" si="441"/>
        <v>1E-4</v>
      </c>
      <c r="B981" s="304">
        <f t="shared" ca="1" si="442"/>
        <v>37.72400000000102</v>
      </c>
      <c r="D981" s="306">
        <f t="shared" ca="1" si="443"/>
        <v>-0.42535433648731197</v>
      </c>
      <c r="E981" s="307">
        <f t="shared" ca="1" si="444"/>
        <v>-2.259323978857898</v>
      </c>
      <c r="F981" s="304">
        <f t="shared" ca="1" si="445"/>
        <v>2.299015257237508</v>
      </c>
      <c r="G981" s="306">
        <f t="shared" ca="1" si="446"/>
        <v>7.4321285867791076</v>
      </c>
      <c r="H981" s="307">
        <f t="shared" ca="1" si="447"/>
        <v>-131.93238569583903</v>
      </c>
      <c r="I981" s="304">
        <f t="shared" ca="1" si="448"/>
        <v>132.14155641101723</v>
      </c>
      <c r="J981" s="306">
        <f t="shared" ca="1" si="449"/>
        <v>515.22511340180665</v>
      </c>
      <c r="K981" s="307">
        <f t="shared" ca="1" si="450"/>
        <v>-6.0734038029383193</v>
      </c>
      <c r="L981" s="304">
        <f t="shared" ca="1" si="435"/>
        <v>515.26090838880657</v>
      </c>
      <c r="M981" s="306">
        <f t="shared" ca="1" si="451"/>
        <v>-1.5145229425220446</v>
      </c>
      <c r="N981" s="304">
        <f t="shared" ca="1" si="452"/>
        <v>-86.775772582247711</v>
      </c>
      <c r="P981" s="310">
        <f t="shared" ca="1" si="453"/>
        <v>23</v>
      </c>
      <c r="Q981" s="304">
        <f t="shared" ca="1" si="454"/>
        <v>0</v>
      </c>
      <c r="R981" s="306">
        <f t="shared" ca="1" si="455"/>
        <v>0</v>
      </c>
      <c r="S981" s="307">
        <f t="shared" ca="1" si="456"/>
        <v>7.4819999999999904</v>
      </c>
      <c r="T981" s="304">
        <f t="shared" ca="1" si="436"/>
        <v>73.398419999999916</v>
      </c>
      <c r="U981" s="311">
        <f t="shared" ca="1" si="437"/>
        <v>0</v>
      </c>
      <c r="V981" s="306">
        <f t="shared" ca="1" si="438"/>
        <v>1.2257442179626701</v>
      </c>
      <c r="W981" s="304">
        <f t="shared" ca="1" si="439"/>
        <v>56.583993136532342</v>
      </c>
      <c r="Y981" s="314" t="str">
        <f t="shared" ca="1" si="457"/>
        <v/>
      </c>
      <c r="Z981" s="315" t="str">
        <f t="shared" ca="1" si="458"/>
        <v/>
      </c>
      <c r="AA981" s="316" t="str">
        <f t="shared" ca="1" si="459"/>
        <v/>
      </c>
      <c r="AC981" s="310" t="e">
        <f t="shared" ca="1" si="460"/>
        <v>#N/A</v>
      </c>
      <c r="AD981" s="323" t="e">
        <f t="shared" ca="1" si="461"/>
        <v>#N/A</v>
      </c>
      <c r="AE981" s="324" t="e">
        <f t="shared" ca="1" si="440"/>
        <v>#N/A</v>
      </c>
      <c r="AG981" s="306">
        <f t="shared" ca="1" si="462"/>
        <v>2.2318239018330122</v>
      </c>
      <c r="AH981" s="304">
        <f t="shared" ca="1" si="463"/>
        <v>-7.5626473332966473</v>
      </c>
    </row>
    <row r="982" spans="1:34" x14ac:dyDescent="0.2">
      <c r="A982" s="347">
        <f t="shared" ca="1" si="441"/>
        <v>1E-4</v>
      </c>
      <c r="B982" s="304">
        <f t="shared" ca="1" si="442"/>
        <v>37.724100000001023</v>
      </c>
      <c r="D982" s="306">
        <f t="shared" ca="1" si="443"/>
        <v>-0.42535318170373232</v>
      </c>
      <c r="E982" s="307">
        <f t="shared" ca="1" si="444"/>
        <v>-2.2592883337196019</v>
      </c>
      <c r="F982" s="304">
        <f t="shared" ca="1" si="445"/>
        <v>2.2989800138467893</v>
      </c>
      <c r="G982" s="306">
        <f t="shared" ca="1" si="446"/>
        <v>7.4320860514609368</v>
      </c>
      <c r="H982" s="307">
        <f t="shared" ca="1" si="447"/>
        <v>-131.9326116246724</v>
      </c>
      <c r="I982" s="304">
        <f t="shared" ca="1" si="448"/>
        <v>132.14177958988961</v>
      </c>
      <c r="J982" s="306">
        <f t="shared" ca="1" si="449"/>
        <v>515.22511340180665</v>
      </c>
      <c r="K982" s="307">
        <f t="shared" ca="1" si="450"/>
        <v>-6.0865970528043452</v>
      </c>
      <c r="L982" s="304">
        <f t="shared" ca="1" si="435"/>
        <v>515.26106406712677</v>
      </c>
      <c r="M982" s="306">
        <f t="shared" ca="1" si="451"/>
        <v>-1.514523360066435</v>
      </c>
      <c r="N982" s="304">
        <f t="shared" ca="1" si="452"/>
        <v>-86.775796505779041</v>
      </c>
      <c r="P982" s="310">
        <f t="shared" ca="1" si="453"/>
        <v>23</v>
      </c>
      <c r="Q982" s="304">
        <f t="shared" ca="1" si="454"/>
        <v>0</v>
      </c>
      <c r="R982" s="306">
        <f t="shared" ca="1" si="455"/>
        <v>0</v>
      </c>
      <c r="S982" s="307">
        <f t="shared" ca="1" si="456"/>
        <v>7.4819999999999904</v>
      </c>
      <c r="T982" s="304">
        <f t="shared" ca="1" si="436"/>
        <v>73.398419999999916</v>
      </c>
      <c r="U982" s="311">
        <f t="shared" ca="1" si="437"/>
        <v>0</v>
      </c>
      <c r="V982" s="306">
        <f t="shared" ca="1" si="438"/>
        <v>1.2257458351188604</v>
      </c>
      <c r="W982" s="304">
        <f t="shared" ca="1" si="439"/>
        <v>56.584258923370214</v>
      </c>
      <c r="Y982" s="314" t="str">
        <f t="shared" ca="1" si="457"/>
        <v/>
      </c>
      <c r="Z982" s="315" t="str">
        <f t="shared" ca="1" si="458"/>
        <v/>
      </c>
      <c r="AA982" s="316" t="str">
        <f t="shared" ca="1" si="459"/>
        <v/>
      </c>
      <c r="AC982" s="310" t="e">
        <f t="shared" ca="1" si="460"/>
        <v>#N/A</v>
      </c>
      <c r="AD982" s="323" t="e">
        <f t="shared" ca="1" si="461"/>
        <v>#N/A</v>
      </c>
      <c r="AE982" s="324" t="e">
        <f t="shared" ca="1" si="440"/>
        <v>#N/A</v>
      </c>
      <c r="AG982" s="306">
        <f t="shared" ca="1" si="462"/>
        <v>2.2317886084517049</v>
      </c>
      <c r="AH982" s="304">
        <f t="shared" ca="1" si="463"/>
        <v>-7.5626828570612687</v>
      </c>
    </row>
    <row r="983" spans="1:34" x14ac:dyDescent="0.2">
      <c r="A983" s="347">
        <f t="shared" ca="1" si="441"/>
        <v>1E-4</v>
      </c>
      <c r="B983" s="304">
        <f t="shared" ca="1" si="442"/>
        <v>37.724200000001026</v>
      </c>
      <c r="D983" s="306">
        <f t="shared" ca="1" si="443"/>
        <v>-0.42535202690434992</v>
      </c>
      <c r="E983" s="307">
        <f t="shared" ca="1" si="444"/>
        <v>-2.2592526888453222</v>
      </c>
      <c r="F983" s="304">
        <f t="shared" ca="1" si="445"/>
        <v>2.2989447707255728</v>
      </c>
      <c r="G983" s="306">
        <f t="shared" ca="1" si="446"/>
        <v>7.4320435162582461</v>
      </c>
      <c r="H983" s="307">
        <f t="shared" ca="1" si="447"/>
        <v>-131.9328375499413</v>
      </c>
      <c r="I983" s="304">
        <f t="shared" ca="1" si="448"/>
        <v>132.14200276523266</v>
      </c>
      <c r="J983" s="306">
        <f t="shared" ca="1" si="449"/>
        <v>515.22511340180665</v>
      </c>
      <c r="K983" s="307">
        <f t="shared" ca="1" si="450"/>
        <v>-6.0997903252630756</v>
      </c>
      <c r="L983" s="304">
        <f t="shared" ca="1" si="435"/>
        <v>515.26122008348023</v>
      </c>
      <c r="M983" s="306">
        <f t="shared" ca="1" si="451"/>
        <v>-1.5145237776070251</v>
      </c>
      <c r="N983" s="304">
        <f t="shared" ca="1" si="452"/>
        <v>-86.775820429092633</v>
      </c>
      <c r="P983" s="310">
        <f t="shared" ca="1" si="453"/>
        <v>23</v>
      </c>
      <c r="Q983" s="304">
        <f t="shared" ca="1" si="454"/>
        <v>0</v>
      </c>
      <c r="R983" s="306">
        <f t="shared" ca="1" si="455"/>
        <v>0</v>
      </c>
      <c r="S983" s="307">
        <f t="shared" ca="1" si="456"/>
        <v>7.4819999999999904</v>
      </c>
      <c r="T983" s="304">
        <f t="shared" ca="1" si="436"/>
        <v>73.398419999999916</v>
      </c>
      <c r="U983" s="311">
        <f t="shared" ca="1" si="437"/>
        <v>0</v>
      </c>
      <c r="V983" s="306">
        <f t="shared" ca="1" si="438"/>
        <v>1.2257474522799543</v>
      </c>
      <c r="W983" s="304">
        <f t="shared" ca="1" si="439"/>
        <v>56.58452470823903</v>
      </c>
      <c r="Y983" s="314" t="str">
        <f t="shared" ca="1" si="457"/>
        <v/>
      </c>
      <c r="Z983" s="315" t="str">
        <f t="shared" ca="1" si="458"/>
        <v/>
      </c>
      <c r="AA983" s="316" t="str">
        <f t="shared" ca="1" si="459"/>
        <v/>
      </c>
      <c r="AC983" s="310" t="e">
        <f t="shared" ca="1" si="460"/>
        <v>#N/A</v>
      </c>
      <c r="AD983" s="323" t="e">
        <f t="shared" ca="1" si="461"/>
        <v>#N/A</v>
      </c>
      <c r="AE983" s="324" t="e">
        <f t="shared" ca="1" si="440"/>
        <v>#N/A</v>
      </c>
      <c r="AG983" s="306">
        <f t="shared" ca="1" si="462"/>
        <v>2.2317533153297591</v>
      </c>
      <c r="AH983" s="304">
        <f t="shared" ca="1" si="463"/>
        <v>-7.5627183805627221</v>
      </c>
    </row>
    <row r="984" spans="1:34" x14ac:dyDescent="0.2">
      <c r="A984" s="347">
        <f t="shared" ca="1" si="441"/>
        <v>1E-4</v>
      </c>
      <c r="B984" s="304">
        <f t="shared" ca="1" si="442"/>
        <v>37.72430000000103</v>
      </c>
      <c r="D984" s="306">
        <f t="shared" ca="1" si="443"/>
        <v>-0.42535087208916872</v>
      </c>
      <c r="E984" s="307">
        <f t="shared" ca="1" si="444"/>
        <v>-2.2592170442350623</v>
      </c>
      <c r="F984" s="304">
        <f t="shared" ca="1" si="445"/>
        <v>2.2989095278738629</v>
      </c>
      <c r="G984" s="306">
        <f t="shared" ca="1" si="446"/>
        <v>7.4320009811710372</v>
      </c>
      <c r="H984" s="307">
        <f t="shared" ca="1" si="447"/>
        <v>-131.93306347164571</v>
      </c>
      <c r="I984" s="304">
        <f t="shared" ca="1" si="448"/>
        <v>132.14222593704642</v>
      </c>
      <c r="J984" s="306">
        <f t="shared" ca="1" si="449"/>
        <v>515.22511340180665</v>
      </c>
      <c r="K984" s="307">
        <f t="shared" ca="1" si="450"/>
        <v>-6.1129836203141545</v>
      </c>
      <c r="L984" s="304">
        <f t="shared" ca="1" si="435"/>
        <v>515.26137643786842</v>
      </c>
      <c r="M984" s="306">
        <f t="shared" ca="1" si="451"/>
        <v>-1.5145241951438153</v>
      </c>
      <c r="N984" s="304">
        <f t="shared" ca="1" si="452"/>
        <v>-86.775844352188514</v>
      </c>
      <c r="P984" s="310">
        <f t="shared" ca="1" si="453"/>
        <v>23</v>
      </c>
      <c r="Q984" s="304">
        <f t="shared" ca="1" si="454"/>
        <v>0</v>
      </c>
      <c r="R984" s="306">
        <f t="shared" ca="1" si="455"/>
        <v>0</v>
      </c>
      <c r="S984" s="307">
        <f t="shared" ca="1" si="456"/>
        <v>7.4819999999999904</v>
      </c>
      <c r="T984" s="304">
        <f t="shared" ca="1" si="436"/>
        <v>73.398419999999916</v>
      </c>
      <c r="U984" s="311">
        <f t="shared" ca="1" si="437"/>
        <v>0</v>
      </c>
      <c r="V984" s="306">
        <f t="shared" ca="1" si="438"/>
        <v>1.2257490694459514</v>
      </c>
      <c r="W984" s="304">
        <f t="shared" ca="1" si="439"/>
        <v>56.584790491138754</v>
      </c>
      <c r="Y984" s="314" t="str">
        <f t="shared" ca="1" si="457"/>
        <v/>
      </c>
      <c r="Z984" s="315" t="str">
        <f t="shared" ca="1" si="458"/>
        <v/>
      </c>
      <c r="AA984" s="316" t="str">
        <f t="shared" ca="1" si="459"/>
        <v/>
      </c>
      <c r="AC984" s="310" t="e">
        <f t="shared" ca="1" si="460"/>
        <v>#N/A</v>
      </c>
      <c r="AD984" s="323" t="e">
        <f t="shared" ca="1" si="461"/>
        <v>#N/A</v>
      </c>
      <c r="AE984" s="324" t="e">
        <f t="shared" ca="1" si="440"/>
        <v>#N/A</v>
      </c>
      <c r="AG984" s="306">
        <f t="shared" ca="1" si="462"/>
        <v>2.2317180224671826</v>
      </c>
      <c r="AH984" s="304">
        <f t="shared" ca="1" si="463"/>
        <v>-7.5627539038010028</v>
      </c>
    </row>
    <row r="985" spans="1:34" x14ac:dyDescent="0.2">
      <c r="A985" s="347">
        <f t="shared" ca="1" si="441"/>
        <v>1E-4</v>
      </c>
      <c r="B985" s="304">
        <f t="shared" ca="1" si="442"/>
        <v>37.724400000001033</v>
      </c>
      <c r="D985" s="306">
        <f t="shared" ca="1" si="443"/>
        <v>-0.42534971725818577</v>
      </c>
      <c r="E985" s="307">
        <f t="shared" ca="1" si="444"/>
        <v>-2.2591813998888277</v>
      </c>
      <c r="F985" s="304">
        <f t="shared" ca="1" si="445"/>
        <v>2.2988742852916646</v>
      </c>
      <c r="G985" s="306">
        <f t="shared" ca="1" si="446"/>
        <v>7.4319584461993111</v>
      </c>
      <c r="H985" s="307">
        <f t="shared" ca="1" si="447"/>
        <v>-131.9332893897857</v>
      </c>
      <c r="I985" s="304">
        <f t="shared" ca="1" si="448"/>
        <v>132.14244910533091</v>
      </c>
      <c r="J985" s="306">
        <f t="shared" ca="1" si="449"/>
        <v>515.22511340180665</v>
      </c>
      <c r="K985" s="307">
        <f t="shared" ca="1" si="450"/>
        <v>-6.1261769379572257</v>
      </c>
      <c r="L985" s="304">
        <f t="shared" ca="1" si="435"/>
        <v>515.26153313029272</v>
      </c>
      <c r="M985" s="306">
        <f t="shared" ca="1" si="451"/>
        <v>-1.5145246126768055</v>
      </c>
      <c r="N985" s="304">
        <f t="shared" ca="1" si="452"/>
        <v>-86.775868275066657</v>
      </c>
      <c r="P985" s="310">
        <f t="shared" ca="1" si="453"/>
        <v>23</v>
      </c>
      <c r="Q985" s="304">
        <f t="shared" ca="1" si="454"/>
        <v>0</v>
      </c>
      <c r="R985" s="306">
        <f t="shared" ca="1" si="455"/>
        <v>0</v>
      </c>
      <c r="S985" s="307">
        <f t="shared" ca="1" si="456"/>
        <v>7.4819999999999904</v>
      </c>
      <c r="T985" s="304">
        <f t="shared" ca="1" si="436"/>
        <v>73.398419999999916</v>
      </c>
      <c r="U985" s="311">
        <f t="shared" ca="1" si="437"/>
        <v>0</v>
      </c>
      <c r="V985" s="306">
        <f t="shared" ca="1" si="438"/>
        <v>1.2257506866168517</v>
      </c>
      <c r="W985" s="304">
        <f t="shared" ca="1" si="439"/>
        <v>56.585056272069394</v>
      </c>
      <c r="Y985" s="314" t="str">
        <f t="shared" ca="1" si="457"/>
        <v/>
      </c>
      <c r="Z985" s="315" t="str">
        <f t="shared" ca="1" si="458"/>
        <v/>
      </c>
      <c r="AA985" s="316" t="str">
        <f t="shared" ca="1" si="459"/>
        <v/>
      </c>
      <c r="AC985" s="310" t="e">
        <f t="shared" ca="1" si="460"/>
        <v>#N/A</v>
      </c>
      <c r="AD985" s="323" t="e">
        <f t="shared" ca="1" si="461"/>
        <v>#N/A</v>
      </c>
      <c r="AE985" s="324" t="e">
        <f t="shared" ca="1" si="440"/>
        <v>#N/A</v>
      </c>
      <c r="AG985" s="306">
        <f t="shared" ca="1" si="462"/>
        <v>2.2316827298639801</v>
      </c>
      <c r="AH985" s="304">
        <f t="shared" ca="1" si="463"/>
        <v>-7.5627894267761064</v>
      </c>
    </row>
    <row r="986" spans="1:34" x14ac:dyDescent="0.2">
      <c r="A986" s="347">
        <f t="shared" ca="1" si="441"/>
        <v>1E-4</v>
      </c>
      <c r="B986" s="304">
        <f t="shared" ca="1" si="442"/>
        <v>37.724500000001036</v>
      </c>
      <c r="D986" s="306">
        <f t="shared" ca="1" si="443"/>
        <v>-0.42534856241140351</v>
      </c>
      <c r="E986" s="307">
        <f t="shared" ca="1" si="444"/>
        <v>-2.2591457558066175</v>
      </c>
      <c r="F986" s="304">
        <f t="shared" ca="1" si="445"/>
        <v>2.2988390429789773</v>
      </c>
      <c r="G986" s="306">
        <f t="shared" ca="1" si="446"/>
        <v>7.4319159113430704</v>
      </c>
      <c r="H986" s="307">
        <f t="shared" ca="1" si="447"/>
        <v>-131.93351530436129</v>
      </c>
      <c r="I986" s="304">
        <f t="shared" ca="1" si="448"/>
        <v>132.14267227008619</v>
      </c>
      <c r="J986" s="306">
        <f t="shared" ca="1" si="449"/>
        <v>515.22511340180665</v>
      </c>
      <c r="K986" s="307">
        <f t="shared" ca="1" si="450"/>
        <v>-6.139370278191933</v>
      </c>
      <c r="L986" s="304">
        <f t="shared" ca="1" si="435"/>
        <v>515.26169016075448</v>
      </c>
      <c r="M986" s="306">
        <f t="shared" ca="1" si="451"/>
        <v>-1.5145250302059958</v>
      </c>
      <c r="N986" s="304">
        <f t="shared" ca="1" si="452"/>
        <v>-86.775892197727089</v>
      </c>
      <c r="P986" s="310">
        <f t="shared" ca="1" si="453"/>
        <v>23</v>
      </c>
      <c r="Q986" s="304">
        <f t="shared" ca="1" si="454"/>
        <v>0</v>
      </c>
      <c r="R986" s="306">
        <f t="shared" ca="1" si="455"/>
        <v>0</v>
      </c>
      <c r="S986" s="307">
        <f t="shared" ca="1" si="456"/>
        <v>7.4819999999999904</v>
      </c>
      <c r="T986" s="304">
        <f t="shared" ca="1" si="436"/>
        <v>73.398419999999916</v>
      </c>
      <c r="U986" s="311">
        <f t="shared" ca="1" si="437"/>
        <v>0</v>
      </c>
      <c r="V986" s="306">
        <f t="shared" ca="1" si="438"/>
        <v>1.2257523037926561</v>
      </c>
      <c r="W986" s="304">
        <f t="shared" ca="1" si="439"/>
        <v>56.585322051031028</v>
      </c>
      <c r="Y986" s="314" t="str">
        <f t="shared" ca="1" si="457"/>
        <v/>
      </c>
      <c r="Z986" s="315" t="str">
        <f t="shared" ca="1" si="458"/>
        <v/>
      </c>
      <c r="AA986" s="316" t="str">
        <f t="shared" ca="1" si="459"/>
        <v/>
      </c>
      <c r="AC986" s="310" t="e">
        <f t="shared" ca="1" si="460"/>
        <v>#N/A</v>
      </c>
      <c r="AD986" s="323" t="e">
        <f t="shared" ca="1" si="461"/>
        <v>#N/A</v>
      </c>
      <c r="AE986" s="324" t="e">
        <f t="shared" ca="1" si="440"/>
        <v>#N/A</v>
      </c>
      <c r="AG986" s="306">
        <f t="shared" ca="1" si="462"/>
        <v>2.2316474375201496</v>
      </c>
      <c r="AH986" s="304">
        <f t="shared" ca="1" si="463"/>
        <v>-7.5628249494880331</v>
      </c>
    </row>
    <row r="987" spans="1:34" x14ac:dyDescent="0.2">
      <c r="A987" s="347">
        <f t="shared" ca="1" si="441"/>
        <v>1E-4</v>
      </c>
      <c r="B987" s="304">
        <f t="shared" ca="1" si="442"/>
        <v>37.72460000000104</v>
      </c>
      <c r="D987" s="306">
        <f t="shared" ca="1" si="443"/>
        <v>-0.42534740754882161</v>
      </c>
      <c r="E987" s="307">
        <f t="shared" ca="1" si="444"/>
        <v>-2.25911011198842</v>
      </c>
      <c r="F987" s="304">
        <f t="shared" ca="1" si="445"/>
        <v>2.2988038009357901</v>
      </c>
      <c r="G987" s="306">
        <f t="shared" ca="1" si="446"/>
        <v>7.431873376602316</v>
      </c>
      <c r="H987" s="307">
        <f t="shared" ca="1" si="447"/>
        <v>-131.93374121537249</v>
      </c>
      <c r="I987" s="304">
        <f t="shared" ca="1" si="448"/>
        <v>132.14289543131227</v>
      </c>
      <c r="J987" s="306">
        <f t="shared" ca="1" si="449"/>
        <v>515.22511340180665</v>
      </c>
      <c r="K987" s="307">
        <f t="shared" ca="1" si="450"/>
        <v>-6.1525636410179194</v>
      </c>
      <c r="L987" s="304">
        <f t="shared" ca="1" si="435"/>
        <v>515.26184752925508</v>
      </c>
      <c r="M987" s="306">
        <f t="shared" ca="1" si="451"/>
        <v>-1.5145254477313863</v>
      </c>
      <c r="N987" s="304">
        <f t="shared" ca="1" si="452"/>
        <v>-86.775916120169796</v>
      </c>
      <c r="P987" s="310">
        <f t="shared" ca="1" si="453"/>
        <v>23</v>
      </c>
      <c r="Q987" s="304">
        <f t="shared" ca="1" si="454"/>
        <v>0</v>
      </c>
      <c r="R987" s="306">
        <f t="shared" ca="1" si="455"/>
        <v>0</v>
      </c>
      <c r="S987" s="307">
        <f t="shared" ca="1" si="456"/>
        <v>7.4819999999999904</v>
      </c>
      <c r="T987" s="304">
        <f t="shared" ca="1" si="436"/>
        <v>73.398419999999916</v>
      </c>
      <c r="U987" s="311">
        <f t="shared" ca="1" si="437"/>
        <v>0</v>
      </c>
      <c r="V987" s="306">
        <f t="shared" ca="1" si="438"/>
        <v>1.2257539209733634</v>
      </c>
      <c r="W987" s="304">
        <f t="shared" ca="1" si="439"/>
        <v>56.585587828023563</v>
      </c>
      <c r="Y987" s="314" t="str">
        <f t="shared" ca="1" si="457"/>
        <v/>
      </c>
      <c r="Z987" s="315" t="str">
        <f t="shared" ca="1" si="458"/>
        <v/>
      </c>
      <c r="AA987" s="316" t="str">
        <f t="shared" ca="1" si="459"/>
        <v/>
      </c>
      <c r="AC987" s="310" t="e">
        <f t="shared" ca="1" si="460"/>
        <v>#N/A</v>
      </c>
      <c r="AD987" s="323" t="e">
        <f t="shared" ca="1" si="461"/>
        <v>#N/A</v>
      </c>
      <c r="AE987" s="324" t="e">
        <f t="shared" ca="1" si="440"/>
        <v>#N/A</v>
      </c>
      <c r="AG987" s="306">
        <f t="shared" ca="1" si="462"/>
        <v>2.2316121454356788</v>
      </c>
      <c r="AH987" s="304">
        <f t="shared" ca="1" si="463"/>
        <v>-7.5628604719367951</v>
      </c>
    </row>
    <row r="988" spans="1:34" x14ac:dyDescent="0.2">
      <c r="A988" s="347">
        <f t="shared" ca="1" si="441"/>
        <v>1E-4</v>
      </c>
      <c r="B988" s="304">
        <f t="shared" ca="1" si="442"/>
        <v>37.724700000001043</v>
      </c>
      <c r="D988" s="306">
        <f t="shared" ca="1" si="443"/>
        <v>-0.42534625267044018</v>
      </c>
      <c r="E988" s="307">
        <f t="shared" ca="1" si="444"/>
        <v>-2.2590744684342488</v>
      </c>
      <c r="F988" s="304">
        <f t="shared" ca="1" si="445"/>
        <v>2.2987685591621156</v>
      </c>
      <c r="G988" s="306">
        <f t="shared" ca="1" si="446"/>
        <v>7.4318308419770487</v>
      </c>
      <c r="H988" s="307">
        <f t="shared" ca="1" si="447"/>
        <v>-131.93396712281933</v>
      </c>
      <c r="I988" s="304">
        <f t="shared" ca="1" si="448"/>
        <v>132.14311858900913</v>
      </c>
      <c r="J988" s="306">
        <f t="shared" ca="1" si="449"/>
        <v>515.22511340180665</v>
      </c>
      <c r="K988" s="307">
        <f t="shared" ca="1" si="450"/>
        <v>-6.1657570264348287</v>
      </c>
      <c r="L988" s="304">
        <f t="shared" ca="1" si="435"/>
        <v>515.2620052357961</v>
      </c>
      <c r="M988" s="306">
        <f t="shared" ca="1" si="451"/>
        <v>-1.5145258652529772</v>
      </c>
      <c r="N988" s="304">
        <f t="shared" ca="1" si="452"/>
        <v>-86.775940042394808</v>
      </c>
      <c r="P988" s="310">
        <f t="shared" ca="1" si="453"/>
        <v>23</v>
      </c>
      <c r="Q988" s="304">
        <f t="shared" ca="1" si="454"/>
        <v>0</v>
      </c>
      <c r="R988" s="306">
        <f t="shared" ca="1" si="455"/>
        <v>0</v>
      </c>
      <c r="S988" s="307">
        <f t="shared" ca="1" si="456"/>
        <v>7.4819999999999904</v>
      </c>
      <c r="T988" s="304">
        <f t="shared" ca="1" si="436"/>
        <v>73.398419999999916</v>
      </c>
      <c r="U988" s="311">
        <f t="shared" ca="1" si="437"/>
        <v>0</v>
      </c>
      <c r="V988" s="306">
        <f t="shared" ca="1" si="438"/>
        <v>1.2257555381589742</v>
      </c>
      <c r="W988" s="304">
        <f t="shared" ca="1" si="439"/>
        <v>56.585853603046985</v>
      </c>
      <c r="Y988" s="314" t="str">
        <f t="shared" ca="1" si="457"/>
        <v/>
      </c>
      <c r="Z988" s="315" t="str">
        <f t="shared" ca="1" si="458"/>
        <v/>
      </c>
      <c r="AA988" s="316" t="str">
        <f t="shared" ca="1" si="459"/>
        <v/>
      </c>
      <c r="AC988" s="310" t="e">
        <f t="shared" ca="1" si="460"/>
        <v>#N/A</v>
      </c>
      <c r="AD988" s="323" t="e">
        <f t="shared" ca="1" si="461"/>
        <v>#N/A</v>
      </c>
      <c r="AE988" s="324" t="e">
        <f t="shared" ca="1" si="440"/>
        <v>#N/A</v>
      </c>
      <c r="AG988" s="306">
        <f t="shared" ca="1" si="462"/>
        <v>2.2315768536105871</v>
      </c>
      <c r="AH988" s="304">
        <f t="shared" ca="1" si="463"/>
        <v>-7.5628959941223783</v>
      </c>
    </row>
    <row r="989" spans="1:34" x14ac:dyDescent="0.2">
      <c r="A989" s="347">
        <f t="shared" ca="1" si="441"/>
        <v>1E-4</v>
      </c>
      <c r="B989" s="304">
        <f t="shared" ca="1" si="442"/>
        <v>37.724800000001046</v>
      </c>
      <c r="D989" s="306">
        <f t="shared" ca="1" si="443"/>
        <v>-0.42534509777625806</v>
      </c>
      <c r="E989" s="307">
        <f t="shared" ca="1" si="444"/>
        <v>-2.2590388251441054</v>
      </c>
      <c r="F989" s="304">
        <f t="shared" ca="1" si="445"/>
        <v>2.2987333176579563</v>
      </c>
      <c r="G989" s="306">
        <f t="shared" ca="1" si="446"/>
        <v>7.4317883074672713</v>
      </c>
      <c r="H989" s="307">
        <f t="shared" ca="1" si="447"/>
        <v>-131.93419302670185</v>
      </c>
      <c r="I989" s="304">
        <f t="shared" ca="1" si="448"/>
        <v>132.14334174317688</v>
      </c>
      <c r="J989" s="306">
        <f t="shared" ca="1" si="449"/>
        <v>515.22511340180665</v>
      </c>
      <c r="K989" s="307">
        <f t="shared" ca="1" si="450"/>
        <v>-6.1789504344423047</v>
      </c>
      <c r="L989" s="304">
        <f t="shared" ca="1" si="435"/>
        <v>515.2621632803789</v>
      </c>
      <c r="M989" s="306">
        <f t="shared" ca="1" si="451"/>
        <v>-1.514526282770768</v>
      </c>
      <c r="N989" s="304">
        <f t="shared" ca="1" si="452"/>
        <v>-86.775963964402095</v>
      </c>
      <c r="P989" s="310">
        <f t="shared" ca="1" si="453"/>
        <v>23</v>
      </c>
      <c r="Q989" s="304">
        <f t="shared" ca="1" si="454"/>
        <v>0</v>
      </c>
      <c r="R989" s="306">
        <f t="shared" ca="1" si="455"/>
        <v>0</v>
      </c>
      <c r="S989" s="307">
        <f t="shared" ca="1" si="456"/>
        <v>7.4819999999999904</v>
      </c>
      <c r="T989" s="304">
        <f t="shared" ca="1" si="436"/>
        <v>73.398419999999916</v>
      </c>
      <c r="U989" s="311">
        <f t="shared" ca="1" si="437"/>
        <v>0</v>
      </c>
      <c r="V989" s="306">
        <f t="shared" ca="1" si="438"/>
        <v>1.2257571553494879</v>
      </c>
      <c r="W989" s="304">
        <f t="shared" ca="1" si="439"/>
        <v>56.586119376101358</v>
      </c>
      <c r="Y989" s="314" t="str">
        <f t="shared" ca="1" si="457"/>
        <v/>
      </c>
      <c r="Z989" s="315" t="str">
        <f t="shared" ca="1" si="458"/>
        <v/>
      </c>
      <c r="AA989" s="316" t="str">
        <f t="shared" ca="1" si="459"/>
        <v/>
      </c>
      <c r="AC989" s="310" t="e">
        <f t="shared" ca="1" si="460"/>
        <v>#N/A</v>
      </c>
      <c r="AD989" s="323" t="e">
        <f t="shared" ca="1" si="461"/>
        <v>#N/A</v>
      </c>
      <c r="AE989" s="324" t="e">
        <f t="shared" ca="1" si="440"/>
        <v>#N/A</v>
      </c>
      <c r="AG989" s="306">
        <f t="shared" ca="1" si="462"/>
        <v>2.2315415620448649</v>
      </c>
      <c r="AH989" s="304">
        <f t="shared" ca="1" si="463"/>
        <v>-7.5629315160447819</v>
      </c>
    </row>
    <row r="990" spans="1:34" x14ac:dyDescent="0.2">
      <c r="A990" s="347">
        <f t="shared" ca="1" si="441"/>
        <v>1E-4</v>
      </c>
      <c r="B990" s="304">
        <f t="shared" ca="1" si="442"/>
        <v>37.72490000000105</v>
      </c>
      <c r="D990" s="306">
        <f t="shared" ca="1" si="443"/>
        <v>-0.42534394286627991</v>
      </c>
      <c r="E990" s="307">
        <f t="shared" ca="1" si="444"/>
        <v>-2.259003182117981</v>
      </c>
      <c r="F990" s="304">
        <f t="shared" ca="1" si="445"/>
        <v>2.2986980764233036</v>
      </c>
      <c r="G990" s="306">
        <f t="shared" ca="1" si="446"/>
        <v>7.4317457730729846</v>
      </c>
      <c r="H990" s="307">
        <f t="shared" ca="1" si="447"/>
        <v>-131.93441892702006</v>
      </c>
      <c r="I990" s="304">
        <f t="shared" ca="1" si="448"/>
        <v>132.14356489381544</v>
      </c>
      <c r="J990" s="306">
        <f t="shared" ca="1" si="449"/>
        <v>515.22511340180665</v>
      </c>
      <c r="K990" s="307">
        <f t="shared" ca="1" si="450"/>
        <v>-6.1921438650399905</v>
      </c>
      <c r="L990" s="304">
        <f t="shared" ca="1" si="435"/>
        <v>515.26232166300485</v>
      </c>
      <c r="M990" s="306">
        <f t="shared" ca="1" si="451"/>
        <v>-1.5145267002847593</v>
      </c>
      <c r="N990" s="304">
        <f t="shared" ca="1" si="452"/>
        <v>-86.775987886191686</v>
      </c>
      <c r="P990" s="310">
        <f t="shared" ca="1" si="453"/>
        <v>23</v>
      </c>
      <c r="Q990" s="304">
        <f t="shared" ca="1" si="454"/>
        <v>0</v>
      </c>
      <c r="R990" s="306">
        <f t="shared" ca="1" si="455"/>
        <v>0</v>
      </c>
      <c r="S990" s="307">
        <f t="shared" ca="1" si="456"/>
        <v>7.4819999999999904</v>
      </c>
      <c r="T990" s="304">
        <f t="shared" ca="1" si="436"/>
        <v>73.398419999999916</v>
      </c>
      <c r="U990" s="311">
        <f t="shared" ca="1" si="437"/>
        <v>0</v>
      </c>
      <c r="V990" s="306">
        <f t="shared" ca="1" si="438"/>
        <v>1.2257587725449053</v>
      </c>
      <c r="W990" s="304">
        <f t="shared" ca="1" si="439"/>
        <v>56.586385147186611</v>
      </c>
      <c r="Y990" s="314" t="str">
        <f t="shared" ca="1" si="457"/>
        <v/>
      </c>
      <c r="Z990" s="315" t="str">
        <f t="shared" ca="1" si="458"/>
        <v/>
      </c>
      <c r="AA990" s="316" t="str">
        <f t="shared" ca="1" si="459"/>
        <v/>
      </c>
      <c r="AC990" s="310" t="e">
        <f t="shared" ca="1" si="460"/>
        <v>#N/A</v>
      </c>
      <c r="AD990" s="323" t="e">
        <f t="shared" ca="1" si="461"/>
        <v>#N/A</v>
      </c>
      <c r="AE990" s="324" t="e">
        <f t="shared" ca="1" si="440"/>
        <v>#N/A</v>
      </c>
      <c r="AG990" s="306">
        <f t="shared" ca="1" si="462"/>
        <v>2.2315062707385147</v>
      </c>
      <c r="AH990" s="304">
        <f t="shared" ca="1" si="463"/>
        <v>-7.5629670377040137</v>
      </c>
    </row>
    <row r="991" spans="1:34" x14ac:dyDescent="0.2">
      <c r="A991" s="347">
        <f t="shared" ca="1" si="441"/>
        <v>1E-4</v>
      </c>
      <c r="B991" s="304">
        <f t="shared" ca="1" si="442"/>
        <v>37.725000000001053</v>
      </c>
      <c r="D991" s="306">
        <f t="shared" ca="1" si="443"/>
        <v>-0.4253427879405009</v>
      </c>
      <c r="E991" s="307">
        <f t="shared" ca="1" si="444"/>
        <v>-2.2589675393558846</v>
      </c>
      <c r="F991" s="304">
        <f t="shared" ca="1" si="445"/>
        <v>2.2986628354581664</v>
      </c>
      <c r="G991" s="306">
        <f t="shared" ca="1" si="446"/>
        <v>7.4317032387941904</v>
      </c>
      <c r="H991" s="307">
        <f t="shared" ca="1" si="447"/>
        <v>-131.93464482377399</v>
      </c>
      <c r="I991" s="304">
        <f t="shared" ca="1" si="448"/>
        <v>132.14378804092493</v>
      </c>
      <c r="J991" s="306">
        <f t="shared" ca="1" si="449"/>
        <v>515.22511340180665</v>
      </c>
      <c r="K991" s="307">
        <f t="shared" ca="1" si="450"/>
        <v>-6.2053373182275298</v>
      </c>
      <c r="L991" s="304">
        <f t="shared" ca="1" si="435"/>
        <v>515.26248038367544</v>
      </c>
      <c r="M991" s="306">
        <f t="shared" ca="1" si="451"/>
        <v>-1.5145271177949509</v>
      </c>
      <c r="N991" s="304">
        <f t="shared" ca="1" si="452"/>
        <v>-86.776011807763567</v>
      </c>
      <c r="P991" s="310">
        <f t="shared" ca="1" si="453"/>
        <v>23</v>
      </c>
      <c r="Q991" s="304">
        <f t="shared" ca="1" si="454"/>
        <v>0</v>
      </c>
      <c r="R991" s="306">
        <f t="shared" ca="1" si="455"/>
        <v>0</v>
      </c>
      <c r="S991" s="307">
        <f t="shared" ca="1" si="456"/>
        <v>7.4819999999999904</v>
      </c>
      <c r="T991" s="304">
        <f t="shared" ca="1" si="436"/>
        <v>73.398419999999916</v>
      </c>
      <c r="U991" s="311">
        <f t="shared" ca="1" si="437"/>
        <v>0</v>
      </c>
      <c r="V991" s="306">
        <f t="shared" ca="1" si="438"/>
        <v>1.2257603897452263</v>
      </c>
      <c r="W991" s="304">
        <f t="shared" ca="1" si="439"/>
        <v>56.58665091630283</v>
      </c>
      <c r="Y991" s="314" t="str">
        <f t="shared" ca="1" si="457"/>
        <v/>
      </c>
      <c r="Z991" s="315" t="str">
        <f t="shared" ca="1" si="458"/>
        <v/>
      </c>
      <c r="AA991" s="316" t="str">
        <f t="shared" ca="1" si="459"/>
        <v/>
      </c>
      <c r="AC991" s="310" t="e">
        <f t="shared" ca="1" si="460"/>
        <v>#N/A</v>
      </c>
      <c r="AD991" s="323" t="e">
        <f t="shared" ca="1" si="461"/>
        <v>#N/A</v>
      </c>
      <c r="AE991" s="324" t="e">
        <f t="shared" ca="1" si="440"/>
        <v>#N/A</v>
      </c>
      <c r="AG991" s="306">
        <f t="shared" ca="1" si="462"/>
        <v>2.231470979691542</v>
      </c>
      <c r="AH991" s="304">
        <f t="shared" ca="1" si="463"/>
        <v>-7.5630025591000649</v>
      </c>
    </row>
    <row r="992" spans="1:34" x14ac:dyDescent="0.2">
      <c r="A992" s="347">
        <f t="shared" ca="1" si="441"/>
        <v>1E-4</v>
      </c>
      <c r="B992" s="304">
        <f t="shared" ca="1" si="442"/>
        <v>37.725100000001056</v>
      </c>
      <c r="D992" s="306">
        <f t="shared" ca="1" si="443"/>
        <v>-0.42534163299892563</v>
      </c>
      <c r="E992" s="307">
        <f t="shared" ca="1" si="444"/>
        <v>-2.2589318968578063</v>
      </c>
      <c r="F992" s="304">
        <f t="shared" ca="1" si="445"/>
        <v>2.2986275947625354</v>
      </c>
      <c r="G992" s="306">
        <f t="shared" ca="1" si="446"/>
        <v>7.4316607046308905</v>
      </c>
      <c r="H992" s="307">
        <f t="shared" ca="1" si="447"/>
        <v>-131.93487071696367</v>
      </c>
      <c r="I992" s="304">
        <f t="shared" ca="1" si="448"/>
        <v>132.14401118450533</v>
      </c>
      <c r="J992" s="306">
        <f t="shared" ca="1" si="449"/>
        <v>515.22511340180665</v>
      </c>
      <c r="K992" s="307">
        <f t="shared" ca="1" si="450"/>
        <v>-6.2185307940045664</v>
      </c>
      <c r="L992" s="304">
        <f t="shared" ca="1" si="435"/>
        <v>515.26263944239201</v>
      </c>
      <c r="M992" s="306">
        <f t="shared" ca="1" si="451"/>
        <v>-1.5145275353013428</v>
      </c>
      <c r="N992" s="304">
        <f t="shared" ca="1" si="452"/>
        <v>-86.776035729117737</v>
      </c>
      <c r="P992" s="310">
        <f t="shared" ca="1" si="453"/>
        <v>23</v>
      </c>
      <c r="Q992" s="304">
        <f t="shared" ca="1" si="454"/>
        <v>0</v>
      </c>
      <c r="R992" s="306">
        <f t="shared" ca="1" si="455"/>
        <v>0</v>
      </c>
      <c r="S992" s="307">
        <f t="shared" ca="1" si="456"/>
        <v>7.4819999999999904</v>
      </c>
      <c r="T992" s="304">
        <f t="shared" ca="1" si="436"/>
        <v>73.398419999999916</v>
      </c>
      <c r="U992" s="311">
        <f t="shared" ca="1" si="437"/>
        <v>0</v>
      </c>
      <c r="V992" s="306">
        <f t="shared" ca="1" si="438"/>
        <v>1.22576200695045</v>
      </c>
      <c r="W992" s="304">
        <f t="shared" ca="1" si="439"/>
        <v>56.586916683449935</v>
      </c>
      <c r="Y992" s="314" t="str">
        <f t="shared" ca="1" si="457"/>
        <v/>
      </c>
      <c r="Z992" s="315" t="str">
        <f t="shared" ca="1" si="458"/>
        <v/>
      </c>
      <c r="AA992" s="316" t="str">
        <f t="shared" ca="1" si="459"/>
        <v/>
      </c>
      <c r="AC992" s="310" t="e">
        <f t="shared" ca="1" si="460"/>
        <v>#N/A</v>
      </c>
      <c r="AD992" s="323" t="e">
        <f t="shared" ca="1" si="461"/>
        <v>#N/A</v>
      </c>
      <c r="AE992" s="324" t="e">
        <f t="shared" ca="1" si="440"/>
        <v>#N/A</v>
      </c>
      <c r="AG992" s="306">
        <f t="shared" ca="1" si="462"/>
        <v>2.2314356889039342</v>
      </c>
      <c r="AH992" s="304">
        <f t="shared" ca="1" si="463"/>
        <v>-7.5630380802329462</v>
      </c>
    </row>
    <row r="993" spans="1:34" x14ac:dyDescent="0.2">
      <c r="A993" s="347">
        <f t="shared" ca="1" si="441"/>
        <v>1E-4</v>
      </c>
      <c r="B993" s="304">
        <f t="shared" ca="1" si="442"/>
        <v>37.72520000000106</v>
      </c>
      <c r="D993" s="306">
        <f t="shared" ca="1" si="443"/>
        <v>-0.42534047804155273</v>
      </c>
      <c r="E993" s="307">
        <f t="shared" ca="1" si="444"/>
        <v>-2.258896254623755</v>
      </c>
      <c r="F993" s="304">
        <f t="shared" ca="1" si="445"/>
        <v>2.2985923543364195</v>
      </c>
      <c r="G993" s="306">
        <f t="shared" ca="1" si="446"/>
        <v>7.4316181705830866</v>
      </c>
      <c r="H993" s="307">
        <f t="shared" ca="1" si="447"/>
        <v>-131.93509660658913</v>
      </c>
      <c r="I993" s="304">
        <f t="shared" ca="1" si="448"/>
        <v>132.14423432455669</v>
      </c>
      <c r="J993" s="306">
        <f t="shared" ca="1" si="449"/>
        <v>515.22511340180665</v>
      </c>
      <c r="K993" s="307">
        <f t="shared" ca="1" si="450"/>
        <v>-6.2317242923707443</v>
      </c>
      <c r="L993" s="304">
        <f t="shared" ca="1" si="435"/>
        <v>515.26279883915618</v>
      </c>
      <c r="M993" s="306">
        <f t="shared" ca="1" si="451"/>
        <v>-1.5145279528039353</v>
      </c>
      <c r="N993" s="304">
        <f t="shared" ca="1" si="452"/>
        <v>-86.776059650254226</v>
      </c>
      <c r="P993" s="310">
        <f t="shared" ca="1" si="453"/>
        <v>23</v>
      </c>
      <c r="Q993" s="304">
        <f t="shared" ca="1" si="454"/>
        <v>0</v>
      </c>
      <c r="R993" s="306">
        <f t="shared" ca="1" si="455"/>
        <v>0</v>
      </c>
      <c r="S993" s="307">
        <f t="shared" ca="1" si="456"/>
        <v>7.4819999999999904</v>
      </c>
      <c r="T993" s="304">
        <f t="shared" ca="1" si="436"/>
        <v>73.398419999999916</v>
      </c>
      <c r="U993" s="311">
        <f t="shared" ca="1" si="437"/>
        <v>0</v>
      </c>
      <c r="V993" s="306">
        <f t="shared" ca="1" si="438"/>
        <v>1.2257636241605772</v>
      </c>
      <c r="W993" s="304">
        <f t="shared" ca="1" si="439"/>
        <v>56.587182448627964</v>
      </c>
      <c r="Y993" s="314" t="str">
        <f t="shared" ca="1" si="457"/>
        <v/>
      </c>
      <c r="Z993" s="315" t="str">
        <f t="shared" ca="1" si="458"/>
        <v/>
      </c>
      <c r="AA993" s="316" t="str">
        <f t="shared" ca="1" si="459"/>
        <v/>
      </c>
      <c r="AC993" s="310" t="e">
        <f t="shared" ca="1" si="460"/>
        <v>#N/A</v>
      </c>
      <c r="AD993" s="323" t="e">
        <f t="shared" ca="1" si="461"/>
        <v>#N/A</v>
      </c>
      <c r="AE993" s="324" t="e">
        <f t="shared" ca="1" si="440"/>
        <v>#N/A</v>
      </c>
      <c r="AG993" s="306">
        <f t="shared" ca="1" si="462"/>
        <v>2.2314003983757029</v>
      </c>
      <c r="AH993" s="304">
        <f t="shared" ca="1" si="463"/>
        <v>-7.5630736011026478</v>
      </c>
    </row>
    <row r="994" spans="1:34" x14ac:dyDescent="0.2">
      <c r="A994" s="347">
        <f t="shared" ca="1" si="441"/>
        <v>1E-4</v>
      </c>
      <c r="B994" s="304">
        <f t="shared" ca="1" si="442"/>
        <v>37.725300000001063</v>
      </c>
      <c r="D994" s="306">
        <f t="shared" ca="1" si="443"/>
        <v>-0.42533932306838135</v>
      </c>
      <c r="E994" s="307">
        <f t="shared" ca="1" si="444"/>
        <v>-2.2588606126537289</v>
      </c>
      <c r="F994" s="304">
        <f t="shared" ca="1" si="445"/>
        <v>2.2985571141798169</v>
      </c>
      <c r="G994" s="306">
        <f t="shared" ca="1" si="446"/>
        <v>7.4315756366507797</v>
      </c>
      <c r="H994" s="307">
        <f t="shared" ca="1" si="447"/>
        <v>-131.93532249265039</v>
      </c>
      <c r="I994" s="304">
        <f t="shared" ca="1" si="448"/>
        <v>132.14445746107901</v>
      </c>
      <c r="J994" s="306">
        <f t="shared" ca="1" si="449"/>
        <v>515.22511340180665</v>
      </c>
      <c r="K994" s="307">
        <f t="shared" ca="1" si="450"/>
        <v>-6.2449178133257064</v>
      </c>
      <c r="L994" s="304">
        <f t="shared" ca="1" si="435"/>
        <v>515.26295857396906</v>
      </c>
      <c r="M994" s="306">
        <f t="shared" ca="1" si="451"/>
        <v>-1.5145283703027281</v>
      </c>
      <c r="N994" s="304">
        <f t="shared" ca="1" si="452"/>
        <v>-86.776083571173004</v>
      </c>
      <c r="P994" s="310">
        <f t="shared" ca="1" si="453"/>
        <v>23</v>
      </c>
      <c r="Q994" s="304">
        <f t="shared" ca="1" si="454"/>
        <v>0</v>
      </c>
      <c r="R994" s="306">
        <f t="shared" ca="1" si="455"/>
        <v>0</v>
      </c>
      <c r="S994" s="307">
        <f t="shared" ca="1" si="456"/>
        <v>7.4819999999999904</v>
      </c>
      <c r="T994" s="304">
        <f t="shared" ca="1" si="436"/>
        <v>73.398419999999916</v>
      </c>
      <c r="U994" s="311">
        <f t="shared" ca="1" si="437"/>
        <v>0</v>
      </c>
      <c r="V994" s="306">
        <f t="shared" ca="1" si="438"/>
        <v>1.2257652413756073</v>
      </c>
      <c r="W994" s="304">
        <f t="shared" ca="1" si="439"/>
        <v>56.587448211836879</v>
      </c>
      <c r="Y994" s="314" t="str">
        <f t="shared" ca="1" si="457"/>
        <v/>
      </c>
      <c r="Z994" s="315" t="str">
        <f t="shared" ca="1" si="458"/>
        <v/>
      </c>
      <c r="AA994" s="316" t="str">
        <f t="shared" ca="1" si="459"/>
        <v/>
      </c>
      <c r="AC994" s="310" t="e">
        <f t="shared" ca="1" si="460"/>
        <v>#N/A</v>
      </c>
      <c r="AD994" s="323" t="e">
        <f t="shared" ca="1" si="461"/>
        <v>#N/A</v>
      </c>
      <c r="AE994" s="324" t="e">
        <f t="shared" ca="1" si="440"/>
        <v>#N/A</v>
      </c>
      <c r="AG994" s="306">
        <f t="shared" ca="1" si="462"/>
        <v>2.2313651081068429</v>
      </c>
      <c r="AH994" s="304">
        <f t="shared" ca="1" si="463"/>
        <v>-7.5631091217091733</v>
      </c>
    </row>
    <row r="995" spans="1:34" x14ac:dyDescent="0.2">
      <c r="A995" s="347">
        <f t="shared" ca="1" si="441"/>
        <v>1E-4</v>
      </c>
      <c r="B995" s="304">
        <f t="shared" ca="1" si="442"/>
        <v>37.725400000001066</v>
      </c>
      <c r="D995" s="306">
        <f t="shared" ca="1" si="443"/>
        <v>-0.42533816807941383</v>
      </c>
      <c r="E995" s="307">
        <f t="shared" ca="1" si="444"/>
        <v>-2.2588249709477282</v>
      </c>
      <c r="F995" s="304">
        <f t="shared" ca="1" si="445"/>
        <v>2.2985218742927285</v>
      </c>
      <c r="G995" s="306">
        <f t="shared" ca="1" si="446"/>
        <v>7.4315331028339715</v>
      </c>
      <c r="H995" s="307">
        <f t="shared" ca="1" si="447"/>
        <v>-131.93554837514748</v>
      </c>
      <c r="I995" s="304">
        <f t="shared" ca="1" si="448"/>
        <v>132.14468059407233</v>
      </c>
      <c r="J995" s="306">
        <f t="shared" ca="1" si="449"/>
        <v>515.22511340180665</v>
      </c>
      <c r="K995" s="307">
        <f t="shared" ca="1" si="450"/>
        <v>-6.2581113568690965</v>
      </c>
      <c r="L995" s="304">
        <f t="shared" ca="1" si="435"/>
        <v>515.26311864683225</v>
      </c>
      <c r="M995" s="306">
        <f t="shared" ca="1" si="451"/>
        <v>-1.5145287877977216</v>
      </c>
      <c r="N995" s="304">
        <f t="shared" ca="1" si="452"/>
        <v>-86.7761074918741</v>
      </c>
      <c r="P995" s="310">
        <f t="shared" ca="1" si="453"/>
        <v>23</v>
      </c>
      <c r="Q995" s="304">
        <f t="shared" ca="1" si="454"/>
        <v>0</v>
      </c>
      <c r="R995" s="306">
        <f t="shared" ca="1" si="455"/>
        <v>0</v>
      </c>
      <c r="S995" s="307">
        <f t="shared" ca="1" si="456"/>
        <v>7.4819999999999904</v>
      </c>
      <c r="T995" s="304">
        <f t="shared" ca="1" si="436"/>
        <v>73.398419999999916</v>
      </c>
      <c r="U995" s="311">
        <f t="shared" ca="1" si="437"/>
        <v>0</v>
      </c>
      <c r="V995" s="306">
        <f t="shared" ca="1" si="438"/>
        <v>1.225766858595541</v>
      </c>
      <c r="W995" s="304">
        <f t="shared" ca="1" si="439"/>
        <v>56.587713973076703</v>
      </c>
      <c r="Y995" s="314" t="str">
        <f t="shared" ca="1" si="457"/>
        <v/>
      </c>
      <c r="Z995" s="315" t="str">
        <f t="shared" ca="1" si="458"/>
        <v/>
      </c>
      <c r="AA995" s="316" t="str">
        <f t="shared" ca="1" si="459"/>
        <v/>
      </c>
      <c r="AC995" s="310" t="e">
        <f t="shared" ca="1" si="460"/>
        <v>#N/A</v>
      </c>
      <c r="AD995" s="323" t="e">
        <f t="shared" ca="1" si="461"/>
        <v>#N/A</v>
      </c>
      <c r="AE995" s="324" t="e">
        <f t="shared" ca="1" si="440"/>
        <v>#N/A</v>
      </c>
      <c r="AG995" s="306">
        <f t="shared" ca="1" si="462"/>
        <v>2.2313298180973584</v>
      </c>
      <c r="AH995" s="304">
        <f t="shared" ca="1" si="463"/>
        <v>-7.5631446420525199</v>
      </c>
    </row>
    <row r="996" spans="1:34" x14ac:dyDescent="0.2">
      <c r="A996" s="347">
        <f t="shared" ca="1" si="441"/>
        <v>1E-4</v>
      </c>
      <c r="B996" s="304">
        <f t="shared" ca="1" si="442"/>
        <v>37.72550000000107</v>
      </c>
      <c r="D996" s="306">
        <f t="shared" ca="1" si="443"/>
        <v>-0.42533701307464933</v>
      </c>
      <c r="E996" s="307">
        <f t="shared" ca="1" si="444"/>
        <v>-2.2587893295057535</v>
      </c>
      <c r="F996" s="304">
        <f t="shared" ca="1" si="445"/>
        <v>2.2984866346751542</v>
      </c>
      <c r="G996" s="306">
        <f t="shared" ca="1" si="446"/>
        <v>7.4314905691326638</v>
      </c>
      <c r="H996" s="307">
        <f t="shared" ca="1" si="447"/>
        <v>-131.93577425408043</v>
      </c>
      <c r="I996" s="304">
        <f t="shared" ca="1" si="448"/>
        <v>132.14490372353669</v>
      </c>
      <c r="J996" s="306">
        <f t="shared" ca="1" si="449"/>
        <v>515.22511340180665</v>
      </c>
      <c r="K996" s="307">
        <f t="shared" ca="1" si="450"/>
        <v>-6.2713049230005575</v>
      </c>
      <c r="L996" s="304">
        <f t="shared" ca="1" si="435"/>
        <v>515.26327905774713</v>
      </c>
      <c r="M996" s="306">
        <f t="shared" ca="1" si="451"/>
        <v>-1.5145292052889157</v>
      </c>
      <c r="N996" s="304">
        <f t="shared" ca="1" si="452"/>
        <v>-86.7761314123575</v>
      </c>
      <c r="P996" s="310">
        <f t="shared" ca="1" si="453"/>
        <v>23</v>
      </c>
      <c r="Q996" s="304">
        <f t="shared" ca="1" si="454"/>
        <v>0</v>
      </c>
      <c r="R996" s="306">
        <f t="shared" ca="1" si="455"/>
        <v>0</v>
      </c>
      <c r="S996" s="307">
        <f t="shared" ca="1" si="456"/>
        <v>7.4819999999999904</v>
      </c>
      <c r="T996" s="304">
        <f t="shared" ca="1" si="436"/>
        <v>73.398419999999916</v>
      </c>
      <c r="U996" s="311">
        <f t="shared" ca="1" si="437"/>
        <v>0</v>
      </c>
      <c r="V996" s="306">
        <f t="shared" ca="1" si="438"/>
        <v>1.2257684758203775</v>
      </c>
      <c r="W996" s="304">
        <f t="shared" ca="1" si="439"/>
        <v>56.587979732347449</v>
      </c>
      <c r="Y996" s="314" t="str">
        <f t="shared" ca="1" si="457"/>
        <v/>
      </c>
      <c r="Z996" s="315" t="str">
        <f t="shared" ca="1" si="458"/>
        <v/>
      </c>
      <c r="AA996" s="316" t="str">
        <f t="shared" ca="1" si="459"/>
        <v/>
      </c>
      <c r="AC996" s="310" t="e">
        <f t="shared" ca="1" si="460"/>
        <v>#N/A</v>
      </c>
      <c r="AD996" s="323" t="e">
        <f t="shared" ca="1" si="461"/>
        <v>#N/A</v>
      </c>
      <c r="AE996" s="324" t="e">
        <f t="shared" ca="1" si="440"/>
        <v>#N/A</v>
      </c>
      <c r="AG996" s="306">
        <f t="shared" ca="1" si="462"/>
        <v>2.2312945283472487</v>
      </c>
      <c r="AH996" s="304">
        <f t="shared" ca="1" si="463"/>
        <v>-7.5631801621326886</v>
      </c>
    </row>
    <row r="997" spans="1:34" x14ac:dyDescent="0.2">
      <c r="A997" s="347">
        <f t="shared" ca="1" si="441"/>
        <v>1E-4</v>
      </c>
      <c r="B997" s="304">
        <f t="shared" ca="1" si="442"/>
        <v>37.725600000001073</v>
      </c>
      <c r="D997" s="306">
        <f t="shared" ca="1" si="443"/>
        <v>-0.42533585805408863</v>
      </c>
      <c r="E997" s="307">
        <f t="shared" ca="1" si="444"/>
        <v>-2.2587536883278014</v>
      </c>
      <c r="F997" s="304">
        <f t="shared" ca="1" si="445"/>
        <v>2.2984513953270915</v>
      </c>
      <c r="G997" s="306">
        <f t="shared" ca="1" si="446"/>
        <v>7.4314480355468584</v>
      </c>
      <c r="H997" s="307">
        <f t="shared" ca="1" si="447"/>
        <v>-131.93600012944927</v>
      </c>
      <c r="I997" s="304">
        <f t="shared" ca="1" si="448"/>
        <v>132.14512684947209</v>
      </c>
      <c r="J997" s="306">
        <f t="shared" ca="1" si="449"/>
        <v>515.22511340180665</v>
      </c>
      <c r="K997" s="307">
        <f t="shared" ca="1" si="450"/>
        <v>-6.2844985117197343</v>
      </c>
      <c r="L997" s="304">
        <f t="shared" ca="1" si="435"/>
        <v>515.26343980671516</v>
      </c>
      <c r="M997" s="306">
        <f t="shared" ca="1" si="451"/>
        <v>-1.5145296227763105</v>
      </c>
      <c r="N997" s="304">
        <f t="shared" ca="1" si="452"/>
        <v>-86.776155332623233</v>
      </c>
      <c r="P997" s="310">
        <f t="shared" ca="1" si="453"/>
        <v>23</v>
      </c>
      <c r="Q997" s="304">
        <f t="shared" ca="1" si="454"/>
        <v>0</v>
      </c>
      <c r="R997" s="306">
        <f t="shared" ca="1" si="455"/>
        <v>0</v>
      </c>
      <c r="S997" s="307">
        <f t="shared" ca="1" si="456"/>
        <v>7.4819999999999904</v>
      </c>
      <c r="T997" s="304">
        <f t="shared" ca="1" si="436"/>
        <v>73.398419999999916</v>
      </c>
      <c r="U997" s="311">
        <f t="shared" ca="1" si="437"/>
        <v>0</v>
      </c>
      <c r="V997" s="306">
        <f t="shared" ca="1" si="438"/>
        <v>1.2257700930501172</v>
      </c>
      <c r="W997" s="304">
        <f t="shared" ca="1" si="439"/>
        <v>56.588245489649083</v>
      </c>
      <c r="Y997" s="314" t="str">
        <f t="shared" ca="1" si="457"/>
        <v/>
      </c>
      <c r="Z997" s="315" t="str">
        <f t="shared" ca="1" si="458"/>
        <v/>
      </c>
      <c r="AA997" s="316" t="str">
        <f t="shared" ca="1" si="459"/>
        <v/>
      </c>
      <c r="AC997" s="310" t="e">
        <f t="shared" ca="1" si="460"/>
        <v>#N/A</v>
      </c>
      <c r="AD997" s="323" t="e">
        <f t="shared" ca="1" si="461"/>
        <v>#N/A</v>
      </c>
      <c r="AE997" s="324" t="e">
        <f t="shared" ca="1" si="440"/>
        <v>#N/A</v>
      </c>
      <c r="AG997" s="306">
        <f t="shared" ca="1" si="462"/>
        <v>2.2312592388565129</v>
      </c>
      <c r="AH997" s="304">
        <f t="shared" ca="1" si="463"/>
        <v>-7.5632156819496821</v>
      </c>
    </row>
    <row r="998" spans="1:34" x14ac:dyDescent="0.2">
      <c r="A998" s="347">
        <f t="shared" ca="1" si="441"/>
        <v>1E-4</v>
      </c>
      <c r="B998" s="304">
        <f t="shared" ca="1" si="442"/>
        <v>37.725700000001076</v>
      </c>
      <c r="D998" s="306">
        <f t="shared" ca="1" si="443"/>
        <v>-0.42533470301773058</v>
      </c>
      <c r="E998" s="307">
        <f t="shared" ca="1" si="444"/>
        <v>-2.2587180474138773</v>
      </c>
      <c r="F998" s="304">
        <f t="shared" ca="1" si="445"/>
        <v>2.2984161562485457</v>
      </c>
      <c r="G998" s="306">
        <f t="shared" ca="1" si="446"/>
        <v>7.431405502076557</v>
      </c>
      <c r="H998" s="307">
        <f t="shared" ca="1" si="447"/>
        <v>-131.936226001254</v>
      </c>
      <c r="I998" s="304">
        <f t="shared" ca="1" si="448"/>
        <v>132.14534997187855</v>
      </c>
      <c r="J998" s="306">
        <f t="shared" ca="1" si="449"/>
        <v>515.22511340180665</v>
      </c>
      <c r="K998" s="307">
        <f t="shared" ca="1" si="450"/>
        <v>-6.2976921230262697</v>
      </c>
      <c r="L998" s="304">
        <f t="shared" ca="1" si="435"/>
        <v>515.26360089373759</v>
      </c>
      <c r="M998" s="306">
        <f t="shared" ca="1" si="451"/>
        <v>-1.514530040259906</v>
      </c>
      <c r="N998" s="304">
        <f t="shared" ca="1" si="452"/>
        <v>-86.77617925267127</v>
      </c>
      <c r="P998" s="310">
        <f t="shared" ca="1" si="453"/>
        <v>23</v>
      </c>
      <c r="Q998" s="304">
        <f t="shared" ca="1" si="454"/>
        <v>0</v>
      </c>
      <c r="R998" s="306">
        <f t="shared" ca="1" si="455"/>
        <v>0</v>
      </c>
      <c r="S998" s="307">
        <f t="shared" ca="1" si="456"/>
        <v>7.4819999999999904</v>
      </c>
      <c r="T998" s="304">
        <f t="shared" ca="1" si="436"/>
        <v>73.398419999999916</v>
      </c>
      <c r="U998" s="311">
        <f t="shared" ca="1" si="437"/>
        <v>0</v>
      </c>
      <c r="V998" s="306">
        <f t="shared" ca="1" si="438"/>
        <v>1.2257717102847598</v>
      </c>
      <c r="W998" s="304">
        <f t="shared" ca="1" si="439"/>
        <v>56.588511244981575</v>
      </c>
      <c r="Y998" s="314" t="str">
        <f t="shared" ca="1" si="457"/>
        <v/>
      </c>
      <c r="Z998" s="315" t="str">
        <f t="shared" ca="1" si="458"/>
        <v/>
      </c>
      <c r="AA998" s="316" t="str">
        <f t="shared" ca="1" si="459"/>
        <v/>
      </c>
      <c r="AC998" s="310" t="e">
        <f t="shared" ca="1" si="460"/>
        <v>#N/A</v>
      </c>
      <c r="AD998" s="323" t="e">
        <f t="shared" ca="1" si="461"/>
        <v>#N/A</v>
      </c>
      <c r="AE998" s="324" t="e">
        <f t="shared" ca="1" si="440"/>
        <v>#N/A</v>
      </c>
      <c r="AG998" s="306">
        <f t="shared" ca="1" si="462"/>
        <v>2.2312239496251536</v>
      </c>
      <c r="AH998" s="304">
        <f t="shared" ca="1" si="463"/>
        <v>-7.5632512015034958</v>
      </c>
    </row>
    <row r="999" spans="1:34" x14ac:dyDescent="0.2">
      <c r="A999" s="347">
        <f t="shared" ca="1" si="441"/>
        <v>1E-4</v>
      </c>
      <c r="B999" s="304">
        <f t="shared" ca="1" si="442"/>
        <v>37.72580000000108</v>
      </c>
      <c r="D999" s="306">
        <f t="shared" ca="1" si="443"/>
        <v>-0.42533354796557726</v>
      </c>
      <c r="E999" s="307">
        <f t="shared" ca="1" si="444"/>
        <v>-2.2586824067639846</v>
      </c>
      <c r="F999" s="304">
        <f t="shared" ca="1" si="445"/>
        <v>2.2983809174395207</v>
      </c>
      <c r="G999" s="306">
        <f t="shared" ca="1" si="446"/>
        <v>7.4313629687217606</v>
      </c>
      <c r="H999" s="307">
        <f t="shared" ca="1" si="447"/>
        <v>-131.93645186949468</v>
      </c>
      <c r="I999" s="304">
        <f t="shared" ca="1" si="448"/>
        <v>132.14557309075616</v>
      </c>
      <c r="J999" s="306">
        <f t="shared" ca="1" si="449"/>
        <v>515.22511340180665</v>
      </c>
      <c r="K999" s="307">
        <f t="shared" ca="1" si="450"/>
        <v>-6.3108857569198067</v>
      </c>
      <c r="L999" s="304">
        <f t="shared" ca="1" si="435"/>
        <v>515.26376231881613</v>
      </c>
      <c r="M999" s="306">
        <f t="shared" ca="1" si="451"/>
        <v>-1.5145304577397023</v>
      </c>
      <c r="N999" s="304">
        <f t="shared" ca="1" si="452"/>
        <v>-86.776203172501624</v>
      </c>
      <c r="P999" s="310">
        <f t="shared" ca="1" si="453"/>
        <v>23</v>
      </c>
      <c r="Q999" s="304">
        <f t="shared" ca="1" si="454"/>
        <v>0</v>
      </c>
      <c r="R999" s="306">
        <f t="shared" ca="1" si="455"/>
        <v>0</v>
      </c>
      <c r="S999" s="307">
        <f t="shared" ca="1" si="456"/>
        <v>7.4819999999999904</v>
      </c>
      <c r="T999" s="304">
        <f t="shared" ca="1" si="436"/>
        <v>73.398419999999916</v>
      </c>
      <c r="U999" s="311">
        <f t="shared" ca="1" si="437"/>
        <v>0</v>
      </c>
      <c r="V999" s="306">
        <f t="shared" ca="1" si="438"/>
        <v>1.2257733275243057</v>
      </c>
      <c r="W999" s="304">
        <f t="shared" ca="1" si="439"/>
        <v>56.588776998345026</v>
      </c>
      <c r="Y999" s="314" t="str">
        <f t="shared" ca="1" si="457"/>
        <v/>
      </c>
      <c r="Z999" s="315" t="str">
        <f t="shared" ca="1" si="458"/>
        <v/>
      </c>
      <c r="AA999" s="316" t="str">
        <f t="shared" ca="1" si="459"/>
        <v/>
      </c>
      <c r="AC999" s="310" t="e">
        <f t="shared" ca="1" si="460"/>
        <v>#N/A</v>
      </c>
      <c r="AD999" s="323" t="e">
        <f t="shared" ca="1" si="461"/>
        <v>#N/A</v>
      </c>
      <c r="AE999" s="324" t="e">
        <f t="shared" ca="1" si="440"/>
        <v>#N/A</v>
      </c>
      <c r="AG999" s="306">
        <f t="shared" ca="1" si="462"/>
        <v>2.2311886606531717</v>
      </c>
      <c r="AH999" s="304">
        <f t="shared" ca="1" si="463"/>
        <v>-7.5632867207941255</v>
      </c>
    </row>
    <row r="1000" spans="1:34" x14ac:dyDescent="0.2">
      <c r="A1000" s="347">
        <f t="shared" ca="1" si="441"/>
        <v>1E-4</v>
      </c>
      <c r="B1000" s="304">
        <f t="shared" ca="1" si="442"/>
        <v>37.725900000001083</v>
      </c>
      <c r="D1000" s="306">
        <f t="shared" ca="1" si="443"/>
        <v>-0.4253323928976287</v>
      </c>
      <c r="E1000" s="307">
        <f t="shared" ca="1" si="444"/>
        <v>-2.25864676637811</v>
      </c>
      <c r="F1000" s="304">
        <f t="shared" ca="1" si="445"/>
        <v>2.2983456789000027</v>
      </c>
      <c r="G1000" s="306">
        <f t="shared" ca="1" si="446"/>
        <v>7.4313204354824709</v>
      </c>
      <c r="H1000" s="307">
        <f t="shared" ca="1" si="447"/>
        <v>-131.93667773417133</v>
      </c>
      <c r="I1000" s="304">
        <f t="shared" ca="1" si="448"/>
        <v>132.14579620610485</v>
      </c>
      <c r="J1000" s="306">
        <f t="shared" ca="1" si="449"/>
        <v>515.22511340180665</v>
      </c>
      <c r="K1000" s="307">
        <f t="shared" ca="1" si="450"/>
        <v>-6.32407941339999</v>
      </c>
      <c r="L1000" s="304">
        <f t="shared" ca="1" si="435"/>
        <v>515.26392408195193</v>
      </c>
      <c r="M1000" s="306">
        <f t="shared" ca="1" si="451"/>
        <v>-1.5145308752156994</v>
      </c>
      <c r="N1000" s="304">
        <f t="shared" ca="1" si="452"/>
        <v>-86.776227092114311</v>
      </c>
      <c r="P1000" s="310">
        <f t="shared" ca="1" si="453"/>
        <v>23</v>
      </c>
      <c r="Q1000" s="304">
        <f t="shared" ca="1" si="454"/>
        <v>0</v>
      </c>
      <c r="R1000" s="306">
        <f t="shared" ca="1" si="455"/>
        <v>0</v>
      </c>
      <c r="S1000" s="307">
        <f t="shared" ca="1" si="456"/>
        <v>7.4819999999999904</v>
      </c>
      <c r="T1000" s="304">
        <f t="shared" ca="1" si="436"/>
        <v>73.398419999999916</v>
      </c>
      <c r="U1000" s="311">
        <f t="shared" ca="1" si="437"/>
        <v>0</v>
      </c>
      <c r="V1000" s="306">
        <f t="shared" ca="1" si="438"/>
        <v>1.2257749447687545</v>
      </c>
      <c r="W1000" s="304">
        <f t="shared" ca="1" si="439"/>
        <v>56.58904274973932</v>
      </c>
      <c r="Y1000" s="314" t="str">
        <f t="shared" ca="1" si="457"/>
        <v/>
      </c>
      <c r="Z1000" s="315" t="str">
        <f t="shared" ca="1" si="458"/>
        <v/>
      </c>
      <c r="AA1000" s="316" t="str">
        <f t="shared" ca="1" si="459"/>
        <v/>
      </c>
      <c r="AC1000" s="310" t="e">
        <f t="shared" ca="1" si="460"/>
        <v>#N/A</v>
      </c>
      <c r="AD1000" s="323" t="e">
        <f t="shared" ca="1" si="461"/>
        <v>#N/A</v>
      </c>
      <c r="AE1000" s="324" t="e">
        <f t="shared" ca="1" si="440"/>
        <v>#N/A</v>
      </c>
      <c r="AG1000" s="306">
        <f t="shared" ca="1" si="462"/>
        <v>2.2311533719405601</v>
      </c>
      <c r="AH1000" s="304">
        <f t="shared" ca="1" si="463"/>
        <v>-7.5633222398215851</v>
      </c>
    </row>
    <row r="1001" spans="1:34" x14ac:dyDescent="0.2">
      <c r="A1001" s="347">
        <f t="shared" ca="1" si="441"/>
        <v>1E-4</v>
      </c>
      <c r="B1001" s="304">
        <f t="shared" ca="1" si="442"/>
        <v>37.726000000001086</v>
      </c>
      <c r="D1001" s="306">
        <f t="shared" ca="1" si="443"/>
        <v>-0.42533123781388449</v>
      </c>
      <c r="E1001" s="307">
        <f t="shared" ca="1" si="444"/>
        <v>-2.2586111262562705</v>
      </c>
      <c r="F1001" s="304">
        <f t="shared" ca="1" si="445"/>
        <v>2.2983104406300097</v>
      </c>
      <c r="G1001" s="306">
        <f t="shared" ca="1" si="446"/>
        <v>7.4312779023586897</v>
      </c>
      <c r="H1001" s="307">
        <f t="shared" ca="1" si="447"/>
        <v>-131.93690359528395</v>
      </c>
      <c r="I1001" s="304">
        <f t="shared" ca="1" si="448"/>
        <v>132.14601931792473</v>
      </c>
      <c r="J1001" s="306">
        <f t="shared" ca="1" si="449"/>
        <v>515.22511340180665</v>
      </c>
      <c r="K1001" s="307">
        <f t="shared" ca="1" si="450"/>
        <v>-6.3372730924664626</v>
      </c>
      <c r="L1001" s="304">
        <f t="shared" ca="1" si="435"/>
        <v>515.26408618314656</v>
      </c>
      <c r="M1001" s="306">
        <f t="shared" ca="1" si="451"/>
        <v>-1.5145312926878973</v>
      </c>
      <c r="N1001" s="304">
        <f t="shared" ca="1" si="452"/>
        <v>-86.776251011509316</v>
      </c>
      <c r="P1001" s="310">
        <f t="shared" ca="1" si="453"/>
        <v>23</v>
      </c>
      <c r="Q1001" s="304">
        <f t="shared" ca="1" si="454"/>
        <v>0</v>
      </c>
      <c r="R1001" s="306">
        <f t="shared" ca="1" si="455"/>
        <v>0</v>
      </c>
      <c r="S1001" s="307">
        <f t="shared" ca="1" si="456"/>
        <v>7.4819999999999904</v>
      </c>
      <c r="T1001" s="304">
        <f t="shared" ca="1" si="436"/>
        <v>73.398419999999916</v>
      </c>
      <c r="U1001" s="311">
        <f t="shared" ca="1" si="437"/>
        <v>0</v>
      </c>
      <c r="V1001" s="306">
        <f t="shared" ca="1" si="438"/>
        <v>1.2257765620181065</v>
      </c>
      <c r="W1001" s="304">
        <f t="shared" ca="1" si="439"/>
        <v>56.589308499164538</v>
      </c>
      <c r="Y1001" s="314" t="str">
        <f t="shared" ca="1" si="457"/>
        <v/>
      </c>
      <c r="Z1001" s="315" t="str">
        <f t="shared" ca="1" si="458"/>
        <v/>
      </c>
      <c r="AA1001" s="316" t="str">
        <f t="shared" ca="1" si="459"/>
        <v/>
      </c>
      <c r="AC1001" s="310" t="e">
        <f t="shared" ca="1" si="460"/>
        <v>#N/A</v>
      </c>
      <c r="AD1001" s="323" t="e">
        <f t="shared" ca="1" si="461"/>
        <v>#N/A</v>
      </c>
      <c r="AE1001" s="324" t="e">
        <f t="shared" ca="1" si="440"/>
        <v>#N/A</v>
      </c>
      <c r="AG1001" s="306">
        <f t="shared" ca="1" si="462"/>
        <v>2.2311180834873303</v>
      </c>
      <c r="AH1001" s="304">
        <f t="shared" ca="1" si="463"/>
        <v>-7.563357758585858</v>
      </c>
    </row>
    <row r="1002" spans="1:34" x14ac:dyDescent="0.2">
      <c r="A1002" s="347">
        <f t="shared" ca="1" si="441"/>
        <v>1E-4</v>
      </c>
      <c r="B1002" s="304">
        <f t="shared" ca="1" si="442"/>
        <v>37.72610000000109</v>
      </c>
      <c r="D1002" s="306">
        <f t="shared" ca="1" si="443"/>
        <v>-0.42533008271434625</v>
      </c>
      <c r="E1002" s="307">
        <f t="shared" ca="1" si="444"/>
        <v>-2.2585754863984517</v>
      </c>
      <c r="F1002" s="304">
        <f t="shared" ca="1" si="445"/>
        <v>2.2982752026295272</v>
      </c>
      <c r="G1002" s="306">
        <f t="shared" ca="1" si="446"/>
        <v>7.4312353693504178</v>
      </c>
      <c r="H1002" s="307">
        <f t="shared" ca="1" si="447"/>
        <v>-131.93712945283258</v>
      </c>
      <c r="I1002" s="304">
        <f t="shared" ca="1" si="448"/>
        <v>132.14624242621576</v>
      </c>
      <c r="J1002" s="306">
        <f t="shared" ca="1" si="449"/>
        <v>515.22511340180665</v>
      </c>
      <c r="K1002" s="307">
        <f t="shared" ca="1" si="450"/>
        <v>-6.3504667941188684</v>
      </c>
      <c r="L1002" s="304">
        <f t="shared" ca="1" si="435"/>
        <v>515.26424862240128</v>
      </c>
      <c r="M1002" s="306">
        <f t="shared" ca="1" si="451"/>
        <v>-1.5145317101562961</v>
      </c>
      <c r="N1002" s="304">
        <f t="shared" ca="1" si="452"/>
        <v>-86.77627493068664</v>
      </c>
      <c r="P1002" s="310">
        <f t="shared" ca="1" si="453"/>
        <v>23</v>
      </c>
      <c r="Q1002" s="304">
        <f t="shared" ca="1" si="454"/>
        <v>0</v>
      </c>
      <c r="R1002" s="306">
        <f t="shared" ca="1" si="455"/>
        <v>0</v>
      </c>
      <c r="S1002" s="307">
        <f t="shared" ca="1" si="456"/>
        <v>7.4819999999999904</v>
      </c>
      <c r="T1002" s="304">
        <f t="shared" ca="1" si="436"/>
        <v>73.398419999999916</v>
      </c>
      <c r="U1002" s="311">
        <f t="shared" ca="1" si="437"/>
        <v>0</v>
      </c>
      <c r="V1002" s="306">
        <f t="shared" ca="1" si="438"/>
        <v>1.2257781792723612</v>
      </c>
      <c r="W1002" s="304">
        <f t="shared" ca="1" si="439"/>
        <v>56.589574246620607</v>
      </c>
      <c r="Y1002" s="314" t="str">
        <f t="shared" ca="1" si="457"/>
        <v/>
      </c>
      <c r="Z1002" s="315" t="str">
        <f t="shared" ca="1" si="458"/>
        <v/>
      </c>
      <c r="AA1002" s="316" t="str">
        <f t="shared" ca="1" si="459"/>
        <v/>
      </c>
      <c r="AC1002" s="310" t="e">
        <f t="shared" ca="1" si="460"/>
        <v>#N/A</v>
      </c>
      <c r="AD1002" s="323" t="e">
        <f t="shared" ca="1" si="461"/>
        <v>#N/A</v>
      </c>
      <c r="AE1002" s="324" t="e">
        <f t="shared" ca="1" si="440"/>
        <v>#N/A</v>
      </c>
      <c r="AG1002" s="306">
        <f t="shared" ca="1" si="462"/>
        <v>2.2310827952934735</v>
      </c>
      <c r="AH1002" s="304">
        <f t="shared" ca="1" si="463"/>
        <v>-7.5633932770869565</v>
      </c>
    </row>
    <row r="1003" spans="1:34" x14ac:dyDescent="0.2">
      <c r="A1003" s="347">
        <f t="shared" ca="1" si="441"/>
        <v>1E-4</v>
      </c>
      <c r="B1003" s="304">
        <f t="shared" ca="1" si="442"/>
        <v>37.726200000001093</v>
      </c>
      <c r="D1003" s="306">
        <f t="shared" ca="1" si="443"/>
        <v>-0.42532892759901392</v>
      </c>
      <c r="E1003" s="307">
        <f t="shared" ca="1" si="444"/>
        <v>-2.2585398468046671</v>
      </c>
      <c r="F1003" s="304">
        <f t="shared" ca="1" si="445"/>
        <v>2.2982399648985692</v>
      </c>
      <c r="G1003" s="306">
        <f t="shared" ca="1" si="446"/>
        <v>7.431192836457658</v>
      </c>
      <c r="H1003" s="307">
        <f t="shared" ca="1" si="447"/>
        <v>-131.93735530681727</v>
      </c>
      <c r="I1003" s="304">
        <f t="shared" ca="1" si="448"/>
        <v>132.14646553097802</v>
      </c>
      <c r="J1003" s="306">
        <f t="shared" ca="1" si="449"/>
        <v>515.22511340180665</v>
      </c>
      <c r="K1003" s="307">
        <f t="shared" ca="1" si="450"/>
        <v>-6.3636605183568511</v>
      </c>
      <c r="L1003" s="304">
        <f t="shared" ca="1" si="435"/>
        <v>515.26441139971757</v>
      </c>
      <c r="M1003" s="306">
        <f t="shared" ca="1" si="451"/>
        <v>-1.5145321276208961</v>
      </c>
      <c r="N1003" s="304">
        <f t="shared" ca="1" si="452"/>
        <v>-86.776298849646324</v>
      </c>
      <c r="P1003" s="310">
        <f t="shared" ca="1" si="453"/>
        <v>23</v>
      </c>
      <c r="Q1003" s="304">
        <f t="shared" ca="1" si="454"/>
        <v>0</v>
      </c>
      <c r="R1003" s="306">
        <f t="shared" ca="1" si="455"/>
        <v>0</v>
      </c>
      <c r="S1003" s="307">
        <f t="shared" ca="1" si="456"/>
        <v>7.4819999999999904</v>
      </c>
      <c r="T1003" s="304">
        <f t="shared" ca="1" si="436"/>
        <v>73.398419999999916</v>
      </c>
      <c r="U1003" s="311">
        <f t="shared" ca="1" si="437"/>
        <v>0</v>
      </c>
      <c r="V1003" s="306">
        <f ca="1">Rho_moyen*(20000-Alt_rampe-pos_z)/(20000+Alt_rampe+pos_z)</f>
        <v>1.2257797965315187</v>
      </c>
      <c r="W1003" s="304">
        <f t="shared" ca="1" si="439"/>
        <v>56.589839992107564</v>
      </c>
      <c r="Y1003" s="314" t="str">
        <f t="shared" ca="1" si="457"/>
        <v/>
      </c>
      <c r="Z1003" s="315" t="str">
        <f t="shared" ca="1" si="458"/>
        <v/>
      </c>
      <c r="AA1003" s="316" t="str">
        <f t="shared" ca="1" si="459"/>
        <v/>
      </c>
      <c r="AC1003" s="310" t="e">
        <f t="shared" ca="1" si="460"/>
        <v>#N/A</v>
      </c>
      <c r="AD1003" s="323" t="e">
        <f t="shared" ca="1" si="461"/>
        <v>#N/A</v>
      </c>
      <c r="AE1003" s="324" t="e">
        <f t="shared" ca="1" si="440"/>
        <v>#N/A</v>
      </c>
      <c r="AG1003" s="306">
        <f t="shared" ca="1" si="462"/>
        <v>2.2310475073589968</v>
      </c>
      <c r="AH1003" s="304">
        <f t="shared" ca="1" si="463"/>
        <v>-7.56342879532487</v>
      </c>
    </row>
    <row r="1004" spans="1:34" x14ac:dyDescent="0.2">
      <c r="A1004" s="348">
        <f t="shared" ca="1" si="441"/>
        <v>1E-4</v>
      </c>
      <c r="B1004" s="305">
        <f t="shared" ca="1" si="442"/>
        <v>37.726300000001096</v>
      </c>
      <c r="D1004" s="308">
        <f t="shared" ca="1" si="443"/>
        <v>-0.42532777246788533</v>
      </c>
      <c r="E1004" s="309">
        <f t="shared" ca="1" si="444"/>
        <v>-2.2585042074749095</v>
      </c>
      <c r="F1004" s="305">
        <f t="shared" ca="1" si="445"/>
        <v>2.2982047274371276</v>
      </c>
      <c r="G1004" s="308">
        <f t="shared" ca="1" si="446"/>
        <v>7.4311503036804112</v>
      </c>
      <c r="H1004" s="309">
        <f t="shared" ca="1" si="447"/>
        <v>-131.93758115723801</v>
      </c>
      <c r="I1004" s="305">
        <f t="shared" ca="1" si="448"/>
        <v>132.14668863221152</v>
      </c>
      <c r="J1004" s="308">
        <f t="shared" ca="1" si="449"/>
        <v>515.22511340180665</v>
      </c>
      <c r="K1004" s="309">
        <f t="shared" ca="1" si="450"/>
        <v>-6.3768542651800537</v>
      </c>
      <c r="L1004" s="305">
        <f t="shared" ca="1" si="435"/>
        <v>515.26457451509691</v>
      </c>
      <c r="M1004" s="308">
        <f t="shared" ca="1" si="451"/>
        <v>-1.5145325450816969</v>
      </c>
      <c r="N1004" s="305">
        <f t="shared" ca="1" si="452"/>
        <v>-86.776322768388312</v>
      </c>
      <c r="P1004" s="312">
        <f t="shared" ca="1" si="453"/>
        <v>23</v>
      </c>
      <c r="Q1004" s="305">
        <f t="shared" ca="1" si="454"/>
        <v>0</v>
      </c>
      <c r="R1004" s="308">
        <f t="shared" ca="1" si="455"/>
        <v>0</v>
      </c>
      <c r="S1004" s="309">
        <f t="shared" ca="1" si="456"/>
        <v>7.4819999999999904</v>
      </c>
      <c r="T1004" s="305">
        <f t="shared" ca="1" si="436"/>
        <v>73.398419999999916</v>
      </c>
      <c r="U1004" s="313">
        <f t="shared" ca="1" si="437"/>
        <v>0</v>
      </c>
      <c r="V1004" s="308">
        <f t="shared" ca="1" si="438"/>
        <v>1.2257814137955796</v>
      </c>
      <c r="W1004" s="305">
        <f ca="1">1/2*Rho*Sref*Cx*vit_xz^2</f>
        <v>56.590105735625443</v>
      </c>
      <c r="Y1004" s="317" t="str">
        <f ca="1">IF(AND(pos_z&lt;=0,K1003&gt;0),"Impact balistique","") &amp; IF(AND(H1005&lt;0,vit_z&gt;=0),"Apogée","") &amp; IF(AND(Poussee=0,Q1003&gt;0),"Fin de propulsion","") &amp; IF(AND(L1005&gt;L_rampe,pos_xz&lt;=L_rampe),"Sortie de rampe","")</f>
        <v/>
      </c>
      <c r="Z1004" s="318" t="str">
        <f t="shared" ca="1" si="458"/>
        <v/>
      </c>
      <c r="AA1004" s="319" t="str">
        <f t="shared" ca="1" si="459"/>
        <v/>
      </c>
      <c r="AC1004" s="312" t="e">
        <f t="shared" ca="1" si="460"/>
        <v>#N/A</v>
      </c>
      <c r="AD1004" s="325" t="e">
        <f t="shared" ca="1" si="461"/>
        <v>#N/A</v>
      </c>
      <c r="AE1004" s="326" t="e">
        <f t="shared" ca="1" si="440"/>
        <v>#N/A</v>
      </c>
      <c r="AG1004" s="308">
        <f t="shared" ca="1" si="462"/>
        <v>2.2310122196838984</v>
      </c>
      <c r="AH1004" s="305">
        <f t="shared" ca="1" si="463"/>
        <v>-7.5634643132996038</v>
      </c>
    </row>
    <row r="1005" spans="1:34" x14ac:dyDescent="0.2">
      <c r="Y1005" s="303"/>
    </row>
    <row r="1010" spans="12:12" x14ac:dyDescent="0.2">
      <c r="L1010"/>
    </row>
    <row r="1034" spans="5:25" x14ac:dyDescent="0.2">
      <c r="E1034" s="300" t="s">
        <v>259</v>
      </c>
      <c r="J1034" s="301" t="s">
        <v>251</v>
      </c>
      <c r="T1034" s="300" t="s">
        <v>250</v>
      </c>
      <c r="Y1034" s="302" t="s">
        <v>253</v>
      </c>
    </row>
    <row r="1035" spans="5:25" x14ac:dyDescent="0.2">
      <c r="E1035" s="299" t="s">
        <v>263</v>
      </c>
    </row>
    <row r="1036" spans="5:25" x14ac:dyDescent="0.2">
      <c r="E1036" s="299"/>
      <c r="T1036" s="299" t="s">
        <v>256</v>
      </c>
    </row>
    <row r="1037" spans="5:25" x14ac:dyDescent="0.2">
      <c r="E1037" s="299"/>
      <c r="T1037" s="299" t="s">
        <v>260</v>
      </c>
    </row>
    <row r="1038" spans="5:25" x14ac:dyDescent="0.2">
      <c r="E1038" s="299"/>
      <c r="T1038" s="299" t="s">
        <v>261</v>
      </c>
    </row>
    <row r="1039" spans="5:25" x14ac:dyDescent="0.2">
      <c r="E1039" s="299"/>
      <c r="T1039" s="299" t="s">
        <v>267</v>
      </c>
    </row>
    <row r="1040" spans="5:25" x14ac:dyDescent="0.2">
      <c r="E1040" s="299" t="s">
        <v>262</v>
      </c>
      <c r="T1040" s="299" t="s">
        <v>252</v>
      </c>
    </row>
    <row r="1041" spans="5:20" x14ac:dyDescent="0.2">
      <c r="E1041" s="299"/>
      <c r="T1041" s="299" t="s">
        <v>268</v>
      </c>
    </row>
    <row r="1042" spans="5:20" x14ac:dyDescent="0.2">
      <c r="E1042" s="299"/>
      <c r="R1042" s="303"/>
      <c r="T1042" s="299"/>
    </row>
    <row r="1043" spans="5:20" x14ac:dyDescent="0.2">
      <c r="E1043" s="299"/>
    </row>
    <row r="1044" spans="5:20" x14ac:dyDescent="0.2">
      <c r="E1044" s="299"/>
    </row>
    <row r="1045" spans="5:20" x14ac:dyDescent="0.2">
      <c r="E1045" s="299" t="s">
        <v>265</v>
      </c>
      <c r="R1045" s="303"/>
      <c r="T1045" s="299"/>
    </row>
    <row r="1046" spans="5:20" x14ac:dyDescent="0.2">
      <c r="E1046" s="299"/>
    </row>
    <row r="1047" spans="5:20" x14ac:dyDescent="0.2">
      <c r="E1047" s="299"/>
    </row>
    <row r="1048" spans="5:20" x14ac:dyDescent="0.2">
      <c r="E1048" s="299"/>
      <c r="T1048" s="298" t="s">
        <v>258</v>
      </c>
    </row>
    <row r="1049" spans="5:20" x14ac:dyDescent="0.2">
      <c r="E1049" s="299"/>
    </row>
    <row r="1050" spans="5:20" x14ac:dyDescent="0.2">
      <c r="E1050" s="299" t="s">
        <v>266</v>
      </c>
    </row>
    <row r="1053" spans="5:20" x14ac:dyDescent="0.2">
      <c r="T1053" s="298" t="s">
        <v>273</v>
      </c>
    </row>
    <row r="1055" spans="5:20" x14ac:dyDescent="0.2">
      <c r="E1055" s="299" t="s">
        <v>255</v>
      </c>
    </row>
    <row r="1058" spans="5:20" x14ac:dyDescent="0.2">
      <c r="T1058" s="299" t="s">
        <v>274</v>
      </c>
    </row>
    <row r="1060" spans="5:20" x14ac:dyDescent="0.2">
      <c r="E1060" s="299" t="s">
        <v>264</v>
      </c>
    </row>
    <row r="1061" spans="5:20" x14ac:dyDescent="0.2">
      <c r="E1061" s="299"/>
    </row>
    <row r="1062" spans="5:20" x14ac:dyDescent="0.2">
      <c r="E1062" s="299"/>
    </row>
    <row r="1063" spans="5:20" x14ac:dyDescent="0.2">
      <c r="E1063" s="299"/>
    </row>
    <row r="1064" spans="5:20" x14ac:dyDescent="0.2">
      <c r="E1064" s="299"/>
    </row>
    <row r="1065" spans="5:20" x14ac:dyDescent="0.2">
      <c r="E1065" s="299" t="s">
        <v>254</v>
      </c>
    </row>
    <row r="1066" spans="5:20" x14ac:dyDescent="0.2">
      <c r="E1066" s="299"/>
    </row>
    <row r="1067" spans="5:20" x14ac:dyDescent="0.2">
      <c r="E1067" s="299"/>
    </row>
    <row r="1068" spans="5:20" x14ac:dyDescent="0.2">
      <c r="E1068" s="299"/>
    </row>
    <row r="1069" spans="5:20" x14ac:dyDescent="0.2">
      <c r="E1069" s="299"/>
    </row>
    <row r="1070" spans="5:20" x14ac:dyDescent="0.2">
      <c r="E1070" s="299" t="s">
        <v>257</v>
      </c>
    </row>
    <row r="1071" spans="5:20" x14ac:dyDescent="0.2">
      <c r="E1071" s="299"/>
    </row>
    <row r="1072" spans="5:20" x14ac:dyDescent="0.2">
      <c r="E1072" s="299"/>
    </row>
    <row r="1073" spans="5:5" x14ac:dyDescent="0.2">
      <c r="E1073" s="299"/>
    </row>
    <row r="1074" spans="5:5" x14ac:dyDescent="0.2">
      <c r="E1074" s="299"/>
    </row>
    <row r="1075" spans="5:5" x14ac:dyDescent="0.2">
      <c r="E1075" s="299" t="s">
        <v>269</v>
      </c>
    </row>
  </sheetData>
  <sheetProtection password="C6AC" sheet="1"/>
  <mergeCells count="5">
    <mergeCell ref="D1:N1"/>
    <mergeCell ref="P1:W1"/>
    <mergeCell ref="AG1:AH1"/>
    <mergeCell ref="Y2:AA2"/>
    <mergeCell ref="AC1:AE1"/>
  </mergeCells>
  <phoneticPr fontId="8" type="noConversion"/>
  <conditionalFormatting sqref="A4:XFD1004">
    <cfRule type="expression" dxfId="5" priority="7" stopIfTrue="1">
      <formula>OR($Y4="Sortie de rampe",$Z4="Para")</formula>
    </cfRule>
    <cfRule type="expression" dxfId="4" priority="8" stopIfTrue="1">
      <formula>OR($Y4="Fin de propulsion",$Y4="Impact balistique",$AA4="Satellite")</formula>
    </cfRule>
    <cfRule type="expression" dxfId="3" priority="9" stopIfTrue="1">
      <formula>$Y4="Apogée"</formula>
    </cfRule>
  </conditionalFormatting>
  <hyperlinks>
    <hyperlink ref="J1034" r:id="rId1" xr:uid="{6272E4DF-CCF5-A04C-88E5-C8DD9E4BDC0A}"/>
    <hyperlink ref="Y1034" r:id="rId2" xr:uid="{8F438075-8076-1C44-B4BD-DE0BB9A090FB}"/>
  </hyperlinks>
  <pageMargins left="0.39370078740157483" right="0.39370078740157483" top="0.39370078740157483" bottom="0.39370078740157483" header="0" footer="0"/>
  <pageSetup paperSize="9" scale="29" firstPageNumber="0" fitToHeight="5" orientation="portrait" horizontalDpi="300" verticalDpi="300"/>
  <headerFooter alignWithMargins="0"/>
  <drawing r:id="rId3"/>
  <legacyDrawing r:id="rId4"/>
  <oleObjects>
    <mc:AlternateContent xmlns:mc="http://schemas.openxmlformats.org/markup-compatibility/2006">
      <mc:Choice Requires="x14">
        <oleObject progId="Equation.3" shapeId="3091" r:id="rId5">
          <objectPr defaultSize="0" autoPict="0" r:id="rId6">
            <anchor moveWithCells="1">
              <from>
                <xdr:col>18</xdr:col>
                <xdr:colOff>9525</xdr:colOff>
                <xdr:row>1010</xdr:row>
                <xdr:rowOff>85725</xdr:rowOff>
              </from>
              <to>
                <xdr:col>20</xdr:col>
                <xdr:colOff>266700</xdr:colOff>
                <xdr:row>1013</xdr:row>
                <xdr:rowOff>28575</xdr:rowOff>
              </to>
            </anchor>
          </objectPr>
        </oleObject>
      </mc:Choice>
      <mc:Fallback>
        <oleObject progId="Equation.3" shapeId="3091" r:id="rId5"/>
      </mc:Fallback>
    </mc:AlternateContent>
    <mc:AlternateContent xmlns:mc="http://schemas.openxmlformats.org/markup-compatibility/2006">
      <mc:Choice Requires="x14">
        <oleObject progId="Equation.3" shapeId="3092" r:id="rId7">
          <objectPr defaultSize="0" autoPict="0" r:id="rId8">
            <anchor moveWithCells="1">
              <from>
                <xdr:col>21</xdr:col>
                <xdr:colOff>28575</xdr:colOff>
                <xdr:row>1024</xdr:row>
                <xdr:rowOff>142875</xdr:rowOff>
              </from>
              <to>
                <xdr:col>25</xdr:col>
                <xdr:colOff>409575</xdr:colOff>
                <xdr:row>1026</xdr:row>
                <xdr:rowOff>66675</xdr:rowOff>
              </to>
            </anchor>
          </objectPr>
        </oleObject>
      </mc:Choice>
      <mc:Fallback>
        <oleObject progId="Equation.3" shapeId="3092" r:id="rId7"/>
      </mc:Fallback>
    </mc:AlternateContent>
    <mc:AlternateContent xmlns:mc="http://schemas.openxmlformats.org/markup-compatibility/2006">
      <mc:Choice Requires="x14">
        <oleObject progId="Equation.3" shapeId="3096" r:id="rId9">
          <objectPr defaultSize="0" autoPict="0" r:id="rId10">
            <anchor moveWithCells="1">
              <from>
                <xdr:col>16</xdr:col>
                <xdr:colOff>228600</xdr:colOff>
                <xdr:row>1006</xdr:row>
                <xdr:rowOff>28575</xdr:rowOff>
              </from>
              <to>
                <xdr:col>24</xdr:col>
                <xdr:colOff>142875</xdr:colOff>
                <xdr:row>1007</xdr:row>
                <xdr:rowOff>85725</xdr:rowOff>
              </to>
            </anchor>
          </objectPr>
        </oleObject>
      </mc:Choice>
      <mc:Fallback>
        <oleObject progId="Equation.3" shapeId="3096" r:id="rId9"/>
      </mc:Fallback>
    </mc:AlternateContent>
    <mc:AlternateContent xmlns:mc="http://schemas.openxmlformats.org/markup-compatibility/2006">
      <mc:Choice Requires="x14">
        <oleObject progId="Equation.3" shapeId="3112" r:id="rId11">
          <objectPr defaultSize="0" autoPict="0" r:id="rId12">
            <anchor moveWithCells="1">
              <from>
                <xdr:col>7</xdr:col>
                <xdr:colOff>9525</xdr:colOff>
                <xdr:row>1017</xdr:row>
                <xdr:rowOff>142875</xdr:rowOff>
              </from>
              <to>
                <xdr:col>10</xdr:col>
                <xdr:colOff>533400</xdr:colOff>
                <xdr:row>1019</xdr:row>
                <xdr:rowOff>114300</xdr:rowOff>
              </to>
            </anchor>
          </objectPr>
        </oleObject>
      </mc:Choice>
      <mc:Fallback>
        <oleObject progId="Equation.3" shapeId="3112" r:id="rId11"/>
      </mc:Fallback>
    </mc:AlternateContent>
    <mc:AlternateContent xmlns:mc="http://schemas.openxmlformats.org/markup-compatibility/2006">
      <mc:Choice Requires="x14">
        <oleObject progId="Equation.3" shapeId="3114" r:id="rId13">
          <objectPr defaultSize="0" autoPict="0" r:id="rId14">
            <anchor moveWithCells="1">
              <from>
                <xdr:col>7</xdr:col>
                <xdr:colOff>9525</xdr:colOff>
                <xdr:row>1014</xdr:row>
                <xdr:rowOff>152400</xdr:rowOff>
              </from>
              <to>
                <xdr:col>11</xdr:col>
                <xdr:colOff>238125</xdr:colOff>
                <xdr:row>1016</xdr:row>
                <xdr:rowOff>66675</xdr:rowOff>
              </to>
            </anchor>
          </objectPr>
        </oleObject>
      </mc:Choice>
      <mc:Fallback>
        <oleObject progId="Equation.3" shapeId="3114" r:id="rId13"/>
      </mc:Fallback>
    </mc:AlternateContent>
    <mc:AlternateContent xmlns:mc="http://schemas.openxmlformats.org/markup-compatibility/2006">
      <mc:Choice Requires="x14">
        <oleObject progId="Equation.3" shapeId="3115" r:id="rId15">
          <objectPr defaultSize="0" autoPict="0" r:id="rId16">
            <anchor moveWithCells="1">
              <from>
                <xdr:col>7</xdr:col>
                <xdr:colOff>9525</xdr:colOff>
                <xdr:row>1016</xdr:row>
                <xdr:rowOff>66675</xdr:rowOff>
              </from>
              <to>
                <xdr:col>11</xdr:col>
                <xdr:colOff>219075</xdr:colOff>
                <xdr:row>1017</xdr:row>
                <xdr:rowOff>142875</xdr:rowOff>
              </to>
            </anchor>
          </objectPr>
        </oleObject>
      </mc:Choice>
      <mc:Fallback>
        <oleObject progId="Equation.3" shapeId="3115" r:id="rId15"/>
      </mc:Fallback>
    </mc:AlternateContent>
    <mc:AlternateContent xmlns:mc="http://schemas.openxmlformats.org/markup-compatibility/2006">
      <mc:Choice Requires="x14">
        <oleObject progId="Equation.3" shapeId="3119" r:id="rId17">
          <objectPr defaultSize="0" autoPict="0" r:id="rId18">
            <anchor moveWithCells="1">
              <from>
                <xdr:col>10</xdr:col>
                <xdr:colOff>0</xdr:colOff>
                <xdr:row>1022</xdr:row>
                <xdr:rowOff>66675</xdr:rowOff>
              </from>
              <to>
                <xdr:col>17</xdr:col>
                <xdr:colOff>238125</xdr:colOff>
                <xdr:row>1024</xdr:row>
                <xdr:rowOff>142875</xdr:rowOff>
              </to>
            </anchor>
          </objectPr>
        </oleObject>
      </mc:Choice>
      <mc:Fallback>
        <oleObject progId="Equation.3" shapeId="3119" r:id="rId17"/>
      </mc:Fallback>
    </mc:AlternateContent>
    <mc:AlternateContent xmlns:mc="http://schemas.openxmlformats.org/markup-compatibility/2006">
      <mc:Choice Requires="x14">
        <oleObject progId="Equation.3" shapeId="3120" r:id="rId19">
          <objectPr defaultSize="0" autoPict="0" r:id="rId20">
            <anchor moveWithCells="1">
              <from>
                <xdr:col>4</xdr:col>
                <xdr:colOff>0</xdr:colOff>
                <xdr:row>1008</xdr:row>
                <xdr:rowOff>0</xdr:rowOff>
              </from>
              <to>
                <xdr:col>11</xdr:col>
                <xdr:colOff>219075</xdr:colOff>
                <xdr:row>1010</xdr:row>
                <xdr:rowOff>76200</xdr:rowOff>
              </to>
            </anchor>
          </objectPr>
        </oleObject>
      </mc:Choice>
      <mc:Fallback>
        <oleObject progId="Equation.3" shapeId="3120" r:id="rId19"/>
      </mc:Fallback>
    </mc:AlternateContent>
    <mc:AlternateContent xmlns:mc="http://schemas.openxmlformats.org/markup-compatibility/2006">
      <mc:Choice Requires="x14">
        <oleObject progId="Equation.3" shapeId="3121" r:id="rId21">
          <objectPr defaultSize="0" autoPict="0" r:id="rId22">
            <anchor moveWithCells="1">
              <from>
                <xdr:col>4</xdr:col>
                <xdr:colOff>0</xdr:colOff>
                <xdr:row>1010</xdr:row>
                <xdr:rowOff>85725</xdr:rowOff>
              </from>
              <to>
                <xdr:col>12</xdr:col>
                <xdr:colOff>219075</xdr:colOff>
                <xdr:row>1013</xdr:row>
                <xdr:rowOff>0</xdr:rowOff>
              </to>
            </anchor>
          </objectPr>
        </oleObject>
      </mc:Choice>
      <mc:Fallback>
        <oleObject progId="Equation.3" shapeId="3121" r:id="rId21"/>
      </mc:Fallback>
    </mc:AlternateContent>
    <mc:AlternateContent xmlns:mc="http://schemas.openxmlformats.org/markup-compatibility/2006">
      <mc:Choice Requires="x14">
        <oleObject progId="Equation.3" shapeId="3122" r:id="rId23">
          <objectPr defaultSize="0" autoPict="0" r:id="rId24">
            <anchor moveWithCells="1">
              <from>
                <xdr:col>1</xdr:col>
                <xdr:colOff>9525</xdr:colOff>
                <xdr:row>1006</xdr:row>
                <xdr:rowOff>85725</xdr:rowOff>
              </from>
              <to>
                <xdr:col>3</xdr:col>
                <xdr:colOff>495300</xdr:colOff>
                <xdr:row>1007</xdr:row>
                <xdr:rowOff>152400</xdr:rowOff>
              </to>
            </anchor>
          </objectPr>
        </oleObject>
      </mc:Choice>
      <mc:Fallback>
        <oleObject progId="Equation.3" shapeId="3122" r:id="rId23"/>
      </mc:Fallback>
    </mc:AlternateContent>
    <mc:AlternateContent xmlns:mc="http://schemas.openxmlformats.org/markup-compatibility/2006">
      <mc:Choice Requires="x14">
        <oleObject progId="Equation.3" shapeId="3124" r:id="rId25">
          <objectPr defaultSize="0" autoPict="0" r:id="rId26">
            <anchor moveWithCells="1">
              <from>
                <xdr:col>10</xdr:col>
                <xdr:colOff>0</xdr:colOff>
                <xdr:row>1024</xdr:row>
                <xdr:rowOff>152400</xdr:rowOff>
              </from>
              <to>
                <xdr:col>16</xdr:col>
                <xdr:colOff>0</xdr:colOff>
                <xdr:row>1026</xdr:row>
                <xdr:rowOff>123825</xdr:rowOff>
              </to>
            </anchor>
          </objectPr>
        </oleObject>
      </mc:Choice>
      <mc:Fallback>
        <oleObject progId="Equation.3" shapeId="3124" r:id="rId25"/>
      </mc:Fallback>
    </mc:AlternateContent>
    <mc:AlternateContent xmlns:mc="http://schemas.openxmlformats.org/markup-compatibility/2006">
      <mc:Choice Requires="x14">
        <oleObject progId="Equation.3" shapeId="3125" r:id="rId27">
          <objectPr defaultSize="0" autoPict="0" r:id="rId28">
            <anchor moveWithCells="1">
              <from>
                <xdr:col>18</xdr:col>
                <xdr:colOff>9525</xdr:colOff>
                <xdr:row>1013</xdr:row>
                <xdr:rowOff>28575</xdr:rowOff>
              </from>
              <to>
                <xdr:col>21</xdr:col>
                <xdr:colOff>28575</xdr:colOff>
                <xdr:row>1014</xdr:row>
                <xdr:rowOff>104775</xdr:rowOff>
              </to>
            </anchor>
          </objectPr>
        </oleObject>
      </mc:Choice>
      <mc:Fallback>
        <oleObject progId="Equation.3" shapeId="3125" r:id="rId27"/>
      </mc:Fallback>
    </mc:AlternateContent>
    <mc:AlternateContent xmlns:mc="http://schemas.openxmlformats.org/markup-compatibility/2006">
      <mc:Choice Requires="x14">
        <oleObject progId="Equation.3" shapeId="3127" r:id="rId29">
          <objectPr defaultSize="0" autoPict="0" r:id="rId30">
            <anchor moveWithCells="1">
              <from>
                <xdr:col>1</xdr:col>
                <xdr:colOff>9525</xdr:colOff>
                <xdr:row>1005</xdr:row>
                <xdr:rowOff>9525</xdr:rowOff>
              </from>
              <to>
                <xdr:col>10</xdr:col>
                <xdr:colOff>371475</xdr:colOff>
                <xdr:row>1006</xdr:row>
                <xdr:rowOff>76200</xdr:rowOff>
              </to>
            </anchor>
          </objectPr>
        </oleObject>
      </mc:Choice>
      <mc:Fallback>
        <oleObject progId="Equation.3" shapeId="3127" r:id="rId29"/>
      </mc:Fallback>
    </mc:AlternateContent>
    <mc:AlternateContent xmlns:mc="http://schemas.openxmlformats.org/markup-compatibility/2006">
      <mc:Choice Requires="x14">
        <oleObject progId="Equation.3" shapeId="3129" r:id="rId31">
          <objectPr defaultSize="0" autoPict="0" r:id="rId32">
            <anchor moveWithCells="1">
              <from>
                <xdr:col>4</xdr:col>
                <xdr:colOff>0</xdr:colOff>
                <xdr:row>1013</xdr:row>
                <xdr:rowOff>9525</xdr:rowOff>
              </from>
              <to>
                <xdr:col>8</xdr:col>
                <xdr:colOff>180975</xdr:colOff>
                <xdr:row>1014</xdr:row>
                <xdr:rowOff>142875</xdr:rowOff>
              </to>
            </anchor>
          </objectPr>
        </oleObject>
      </mc:Choice>
      <mc:Fallback>
        <oleObject progId="Equation.3" shapeId="3129" r:id="rId31"/>
      </mc:Fallback>
    </mc:AlternateContent>
    <mc:AlternateContent xmlns:mc="http://schemas.openxmlformats.org/markup-compatibility/2006">
      <mc:Choice Requires="x14">
        <oleObject progId="Equation.3" shapeId="3131" r:id="rId33">
          <objectPr defaultSize="0" autoPict="0" r:id="rId34">
            <anchor moveWithCells="1">
              <from>
                <xdr:col>20</xdr:col>
                <xdr:colOff>9525</xdr:colOff>
                <xdr:row>1018</xdr:row>
                <xdr:rowOff>47625</xdr:rowOff>
              </from>
              <to>
                <xdr:col>24</xdr:col>
                <xdr:colOff>981075</xdr:colOff>
                <xdr:row>1019</xdr:row>
                <xdr:rowOff>114300</xdr:rowOff>
              </to>
            </anchor>
          </objectPr>
        </oleObject>
      </mc:Choice>
      <mc:Fallback>
        <oleObject progId="Equation.3" shapeId="3131" r:id="rId33"/>
      </mc:Fallback>
    </mc:AlternateContent>
    <mc:AlternateContent xmlns:mc="http://schemas.openxmlformats.org/markup-compatibility/2006">
      <mc:Choice Requires="x14">
        <oleObject progId="Equation.3" shapeId="3134" r:id="rId35">
          <objectPr defaultSize="0" autoPict="0" r:id="rId36">
            <anchor moveWithCells="1">
              <from>
                <xdr:col>10</xdr:col>
                <xdr:colOff>0</xdr:colOff>
                <xdr:row>1019</xdr:row>
                <xdr:rowOff>123825</xdr:rowOff>
              </from>
              <to>
                <xdr:col>20</xdr:col>
                <xdr:colOff>523875</xdr:colOff>
                <xdr:row>1022</xdr:row>
                <xdr:rowOff>47625</xdr:rowOff>
              </to>
            </anchor>
          </objectPr>
        </oleObject>
      </mc:Choice>
      <mc:Fallback>
        <oleObject progId="Equation.3" shapeId="3134" r:id="rId35"/>
      </mc:Fallback>
    </mc:AlternateContent>
    <mc:AlternateContent xmlns:mc="http://schemas.openxmlformats.org/markup-compatibility/2006">
      <mc:Choice Requires="x14">
        <oleObject progId="Equation.3" shapeId="3135" r:id="rId37">
          <objectPr defaultSize="0" autoPict="0" r:id="rId38">
            <anchor moveWithCells="1">
              <from>
                <xdr:col>12</xdr:col>
                <xdr:colOff>0</xdr:colOff>
                <xdr:row>1018</xdr:row>
                <xdr:rowOff>47625</xdr:rowOff>
              </from>
              <to>
                <xdr:col>19</xdr:col>
                <xdr:colOff>161925</xdr:colOff>
                <xdr:row>1019</xdr:row>
                <xdr:rowOff>114300</xdr:rowOff>
              </to>
            </anchor>
          </objectPr>
        </oleObject>
      </mc:Choice>
      <mc:Fallback>
        <oleObject progId="Equation.3" shapeId="3135" r:id="rId37"/>
      </mc:Fallback>
    </mc:AlternateContent>
    <mc:AlternateContent xmlns:mc="http://schemas.openxmlformats.org/markup-compatibility/2006">
      <mc:Choice Requires="x14">
        <oleObject progId="Equation.3" shapeId="3141" r:id="rId39">
          <objectPr defaultSize="0" autoPict="0" r:id="rId40">
            <anchor moveWithCells="1">
              <from>
                <xdr:col>33</xdr:col>
                <xdr:colOff>9525</xdr:colOff>
                <xdr:row>1007</xdr:row>
                <xdr:rowOff>104775</xdr:rowOff>
              </from>
              <to>
                <xdr:col>37</xdr:col>
                <xdr:colOff>257175</xdr:colOff>
                <xdr:row>1010</xdr:row>
                <xdr:rowOff>66675</xdr:rowOff>
              </to>
            </anchor>
          </objectPr>
        </oleObject>
      </mc:Choice>
      <mc:Fallback>
        <oleObject progId="Equation.3" shapeId="3141" r:id="rId39"/>
      </mc:Fallback>
    </mc:AlternateContent>
    <mc:AlternateContent xmlns:mc="http://schemas.openxmlformats.org/markup-compatibility/2006">
      <mc:Choice Requires="x14">
        <oleObject progId="Equation.3" shapeId="3142" r:id="rId41">
          <objectPr defaultSize="0" autoPict="0" r:id="rId42">
            <anchor moveWithCells="1">
              <from>
                <xdr:col>33</xdr:col>
                <xdr:colOff>9525</xdr:colOff>
                <xdr:row>1010</xdr:row>
                <xdr:rowOff>76200</xdr:rowOff>
              </from>
              <to>
                <xdr:col>35</xdr:col>
                <xdr:colOff>657225</xdr:colOff>
                <xdr:row>1013</xdr:row>
                <xdr:rowOff>38100</xdr:rowOff>
              </to>
            </anchor>
          </objectPr>
        </oleObject>
      </mc:Choice>
      <mc:Fallback>
        <oleObject progId="Equation.3" shapeId="3142" r:id="rId41"/>
      </mc:Fallback>
    </mc:AlternateContent>
    <mc:AlternateContent xmlns:mc="http://schemas.openxmlformats.org/markup-compatibility/2006">
      <mc:Choice Requires="x14">
        <oleObject progId="Equation.3" shapeId="3157" r:id="rId43">
          <objectPr defaultSize="0" autoPict="0" r:id="rId44">
            <anchor moveWithCells="1">
              <from>
                <xdr:col>4</xdr:col>
                <xdr:colOff>0</xdr:colOff>
                <xdr:row>1035</xdr:row>
                <xdr:rowOff>28575</xdr:rowOff>
              </from>
              <to>
                <xdr:col>11</xdr:col>
                <xdr:colOff>504825</xdr:colOff>
                <xdr:row>1038</xdr:row>
                <xdr:rowOff>28575</xdr:rowOff>
              </to>
            </anchor>
          </objectPr>
        </oleObject>
      </mc:Choice>
      <mc:Fallback>
        <oleObject progId="Equation.3" shapeId="3157" r:id="rId43"/>
      </mc:Fallback>
    </mc:AlternateContent>
    <mc:AlternateContent xmlns:mc="http://schemas.openxmlformats.org/markup-compatibility/2006">
      <mc:Choice Requires="x14">
        <oleObject progId="Equation.3" shapeId="3158" r:id="rId45">
          <objectPr defaultSize="0" autoPict="0" r:id="rId46">
            <anchor moveWithCells="1">
              <from>
                <xdr:col>4</xdr:col>
                <xdr:colOff>0</xdr:colOff>
                <xdr:row>1040</xdr:row>
                <xdr:rowOff>28575</xdr:rowOff>
              </from>
              <to>
                <xdr:col>12</xdr:col>
                <xdr:colOff>28575</xdr:colOff>
                <xdr:row>1043</xdr:row>
                <xdr:rowOff>28575</xdr:rowOff>
              </to>
            </anchor>
          </objectPr>
        </oleObject>
      </mc:Choice>
      <mc:Fallback>
        <oleObject progId="Equation.3" shapeId="3158" r:id="rId45"/>
      </mc:Fallback>
    </mc:AlternateContent>
    <mc:AlternateContent xmlns:mc="http://schemas.openxmlformats.org/markup-compatibility/2006">
      <mc:Choice Requires="x14">
        <oleObject progId="Equation.3" shapeId="3161" r:id="rId47">
          <objectPr defaultSize="0" autoPict="0" r:id="rId48">
            <anchor moveWithCells="1">
              <from>
                <xdr:col>18</xdr:col>
                <xdr:colOff>9525</xdr:colOff>
                <xdr:row>1014</xdr:row>
                <xdr:rowOff>104775</xdr:rowOff>
              </from>
              <to>
                <xdr:col>20</xdr:col>
                <xdr:colOff>304800</xdr:colOff>
                <xdr:row>1016</xdr:row>
                <xdr:rowOff>9525</xdr:rowOff>
              </to>
            </anchor>
          </objectPr>
        </oleObject>
      </mc:Choice>
      <mc:Fallback>
        <oleObject progId="Equation.3" shapeId="3161" r:id="rId47"/>
      </mc:Fallback>
    </mc:AlternateContent>
    <mc:AlternateContent xmlns:mc="http://schemas.openxmlformats.org/markup-compatibility/2006">
      <mc:Choice Requires="x14">
        <oleObject progId="Equation.3" shapeId="3162" r:id="rId49">
          <objectPr defaultSize="0" autoPict="0" r:id="rId50">
            <anchor moveWithCells="1">
              <from>
                <xdr:col>16</xdr:col>
                <xdr:colOff>228600</xdr:colOff>
                <xdr:row>1007</xdr:row>
                <xdr:rowOff>104775</xdr:rowOff>
              </from>
              <to>
                <xdr:col>32</xdr:col>
                <xdr:colOff>152400</xdr:colOff>
                <xdr:row>1010</xdr:row>
                <xdr:rowOff>76200</xdr:rowOff>
              </to>
            </anchor>
          </objectPr>
        </oleObject>
      </mc:Choice>
      <mc:Fallback>
        <oleObject progId="Equation.3" shapeId="3162" r:id="rId49"/>
      </mc:Fallback>
    </mc:AlternateContent>
    <mc:AlternateContent xmlns:mc="http://schemas.openxmlformats.org/markup-compatibility/2006">
      <mc:Choice Requires="x14">
        <oleObject progId="Equation.3" shapeId="3167" r:id="rId51">
          <objectPr defaultSize="0" autoPict="0" r:id="rId52">
            <anchor moveWithCells="1">
              <from>
                <xdr:col>4</xdr:col>
                <xdr:colOff>0</xdr:colOff>
                <xdr:row>1055</xdr:row>
                <xdr:rowOff>28575</xdr:rowOff>
              </from>
              <to>
                <xdr:col>12</xdr:col>
                <xdr:colOff>304800</xdr:colOff>
                <xdr:row>1058</xdr:row>
                <xdr:rowOff>47625</xdr:rowOff>
              </to>
            </anchor>
          </objectPr>
        </oleObject>
      </mc:Choice>
      <mc:Fallback>
        <oleObject progId="Equation.3" shapeId="3167" r:id="rId51"/>
      </mc:Fallback>
    </mc:AlternateContent>
    <mc:AlternateContent xmlns:mc="http://schemas.openxmlformats.org/markup-compatibility/2006">
      <mc:Choice Requires="x14">
        <oleObject progId="Equation.3" shapeId="3168" r:id="rId53">
          <objectPr defaultSize="0" autoPict="0" r:id="rId54">
            <anchor moveWithCells="1">
              <from>
                <xdr:col>4</xdr:col>
                <xdr:colOff>0</xdr:colOff>
                <xdr:row>1060</xdr:row>
                <xdr:rowOff>28575</xdr:rowOff>
              </from>
              <to>
                <xdr:col>15</xdr:col>
                <xdr:colOff>47625</xdr:colOff>
                <xdr:row>1063</xdr:row>
                <xdr:rowOff>47625</xdr:rowOff>
              </to>
            </anchor>
          </objectPr>
        </oleObject>
      </mc:Choice>
      <mc:Fallback>
        <oleObject progId="Equation.3" shapeId="3168" r:id="rId53"/>
      </mc:Fallback>
    </mc:AlternateContent>
    <mc:AlternateContent xmlns:mc="http://schemas.openxmlformats.org/markup-compatibility/2006">
      <mc:Choice Requires="x14">
        <oleObject progId="Equation.3" shapeId="3169" r:id="rId55">
          <objectPr defaultSize="0" autoPict="0" r:id="rId56">
            <anchor moveWithCells="1">
              <from>
                <xdr:col>4</xdr:col>
                <xdr:colOff>0</xdr:colOff>
                <xdr:row>1065</xdr:row>
                <xdr:rowOff>28575</xdr:rowOff>
              </from>
              <to>
                <xdr:col>16</xdr:col>
                <xdr:colOff>609600</xdr:colOff>
                <xdr:row>1068</xdr:row>
                <xdr:rowOff>47625</xdr:rowOff>
              </to>
            </anchor>
          </objectPr>
        </oleObject>
      </mc:Choice>
      <mc:Fallback>
        <oleObject progId="Equation.3" shapeId="3169" r:id="rId55"/>
      </mc:Fallback>
    </mc:AlternateContent>
    <mc:AlternateContent xmlns:mc="http://schemas.openxmlformats.org/markup-compatibility/2006">
      <mc:Choice Requires="x14">
        <oleObject progId="Equation.3" shapeId="3173" r:id="rId57">
          <objectPr defaultSize="0" autoPict="0" r:id="rId58">
            <anchor moveWithCells="1">
              <from>
                <xdr:col>4</xdr:col>
                <xdr:colOff>0</xdr:colOff>
                <xdr:row>1045</xdr:row>
                <xdr:rowOff>28575</xdr:rowOff>
              </from>
              <to>
                <xdr:col>16</xdr:col>
                <xdr:colOff>104775</xdr:colOff>
                <xdr:row>1048</xdr:row>
                <xdr:rowOff>28575</xdr:rowOff>
              </to>
            </anchor>
          </objectPr>
        </oleObject>
      </mc:Choice>
      <mc:Fallback>
        <oleObject progId="Equation.3" shapeId="3173" r:id="rId57"/>
      </mc:Fallback>
    </mc:AlternateContent>
    <mc:AlternateContent xmlns:mc="http://schemas.openxmlformats.org/markup-compatibility/2006">
      <mc:Choice Requires="x14">
        <oleObject progId="Equation.3" shapeId="3174" r:id="rId59">
          <objectPr defaultSize="0" autoPict="0" r:id="rId60">
            <anchor moveWithCells="1">
              <from>
                <xdr:col>4</xdr:col>
                <xdr:colOff>0</xdr:colOff>
                <xdr:row>1050</xdr:row>
                <xdr:rowOff>28575</xdr:rowOff>
              </from>
              <to>
                <xdr:col>16</xdr:col>
                <xdr:colOff>352425</xdr:colOff>
                <xdr:row>1053</xdr:row>
                <xdr:rowOff>47625</xdr:rowOff>
              </to>
            </anchor>
          </objectPr>
        </oleObject>
      </mc:Choice>
      <mc:Fallback>
        <oleObject progId="Equation.3" shapeId="3174" r:id="rId59"/>
      </mc:Fallback>
    </mc:AlternateContent>
    <mc:AlternateContent xmlns:mc="http://schemas.openxmlformats.org/markup-compatibility/2006">
      <mc:Choice Requires="x14">
        <oleObject progId="Equation.3" shapeId="3178" r:id="rId61">
          <objectPr defaultSize="0" autoPict="0" r:id="rId62">
            <anchor moveWithCells="1">
              <from>
                <xdr:col>4</xdr:col>
                <xdr:colOff>0</xdr:colOff>
                <xdr:row>1070</xdr:row>
                <xdr:rowOff>28575</xdr:rowOff>
              </from>
              <to>
                <xdr:col>12</xdr:col>
                <xdr:colOff>371475</xdr:colOff>
                <xdr:row>1073</xdr:row>
                <xdr:rowOff>47625</xdr:rowOff>
              </to>
            </anchor>
          </objectPr>
        </oleObject>
      </mc:Choice>
      <mc:Fallback>
        <oleObject progId="Equation.3" shapeId="3178" r:id="rId61"/>
      </mc:Fallback>
    </mc:AlternateContent>
    <mc:AlternateContent xmlns:mc="http://schemas.openxmlformats.org/markup-compatibility/2006">
      <mc:Choice Requires="x14">
        <oleObject progId="Equation.3" shapeId="3188" r:id="rId63">
          <objectPr defaultSize="0" autoPict="0" r:id="rId64">
            <anchor moveWithCells="1">
              <from>
                <xdr:col>19</xdr:col>
                <xdr:colOff>0</xdr:colOff>
                <xdr:row>1053</xdr:row>
                <xdr:rowOff>28575</xdr:rowOff>
              </from>
              <to>
                <xdr:col>32</xdr:col>
                <xdr:colOff>381000</xdr:colOff>
                <xdr:row>1056</xdr:row>
                <xdr:rowOff>28575</xdr:rowOff>
              </to>
            </anchor>
          </objectPr>
        </oleObject>
      </mc:Choice>
      <mc:Fallback>
        <oleObject progId="Equation.3" shapeId="3188" r:id="rId63"/>
      </mc:Fallback>
    </mc:AlternateContent>
    <mc:AlternateContent xmlns:mc="http://schemas.openxmlformats.org/markup-compatibility/2006">
      <mc:Choice Requires="x14">
        <oleObject progId="Equation.3" shapeId="3192" r:id="rId65">
          <objectPr defaultSize="0" autoPict="0" r:id="rId66">
            <anchor moveWithCells="1">
              <from>
                <xdr:col>21</xdr:col>
                <xdr:colOff>28575</xdr:colOff>
                <xdr:row>1022</xdr:row>
                <xdr:rowOff>47625</xdr:rowOff>
              </from>
              <to>
                <xdr:col>32</xdr:col>
                <xdr:colOff>238125</xdr:colOff>
                <xdr:row>1024</xdr:row>
                <xdr:rowOff>114300</xdr:rowOff>
              </to>
            </anchor>
          </objectPr>
        </oleObject>
      </mc:Choice>
      <mc:Fallback>
        <oleObject progId="Equation.3" shapeId="3192" r:id="rId65"/>
      </mc:Fallback>
    </mc:AlternateContent>
    <mc:AlternateContent xmlns:mc="http://schemas.openxmlformats.org/markup-compatibility/2006">
      <mc:Choice Requires="x14">
        <oleObject progId="Equation.3" shapeId="3220" r:id="rId67">
          <objectPr defaultSize="0" autoPict="0" r:id="rId68">
            <anchor moveWithCells="1">
              <from>
                <xdr:col>33</xdr:col>
                <xdr:colOff>0</xdr:colOff>
                <xdr:row>1017</xdr:row>
                <xdr:rowOff>28575</xdr:rowOff>
              </from>
              <to>
                <xdr:col>36</xdr:col>
                <xdr:colOff>152400</xdr:colOff>
                <xdr:row>1020</xdr:row>
                <xdr:rowOff>28575</xdr:rowOff>
              </to>
            </anchor>
          </objectPr>
        </oleObject>
      </mc:Choice>
      <mc:Fallback>
        <oleObject progId="Equation.3" shapeId="3220" r:id="rId67"/>
      </mc:Fallback>
    </mc:AlternateContent>
    <mc:AlternateContent xmlns:mc="http://schemas.openxmlformats.org/markup-compatibility/2006">
      <mc:Choice Requires="x14">
        <oleObject progId="Equation.3" shapeId="3222" r:id="rId69">
          <objectPr defaultSize="0" autoPict="0" r:id="rId70">
            <anchor moveWithCells="1">
              <from>
                <xdr:col>33</xdr:col>
                <xdr:colOff>0</xdr:colOff>
                <xdr:row>1014</xdr:row>
                <xdr:rowOff>0</xdr:rowOff>
              </from>
              <to>
                <xdr:col>36</xdr:col>
                <xdr:colOff>638175</xdr:colOff>
                <xdr:row>1017</xdr:row>
                <xdr:rowOff>0</xdr:rowOff>
              </to>
            </anchor>
          </objectPr>
        </oleObject>
      </mc:Choice>
      <mc:Fallback>
        <oleObject progId="Equation.3" shapeId="3222" r:id="rId69"/>
      </mc:Fallback>
    </mc:AlternateContent>
    <mc:AlternateContent xmlns:mc="http://schemas.openxmlformats.org/markup-compatibility/2006">
      <mc:Choice Requires="x14">
        <oleObject progId="Equation.3" shapeId="3223" r:id="rId71">
          <objectPr defaultSize="0" autoPict="0" r:id="rId72">
            <anchor moveWithCells="1">
              <from>
                <xdr:col>33</xdr:col>
                <xdr:colOff>0</xdr:colOff>
                <xdr:row>1020</xdr:row>
                <xdr:rowOff>38100</xdr:rowOff>
              </from>
              <to>
                <xdr:col>35</xdr:col>
                <xdr:colOff>123825</xdr:colOff>
                <xdr:row>1023</xdr:row>
                <xdr:rowOff>38100</xdr:rowOff>
              </to>
            </anchor>
          </objectPr>
        </oleObject>
      </mc:Choice>
      <mc:Fallback>
        <oleObject progId="Equation.3" shapeId="3223" r:id="rId71"/>
      </mc:Fallback>
    </mc:AlternateContent>
    <mc:AlternateContent xmlns:mc="http://schemas.openxmlformats.org/markup-compatibility/2006">
      <mc:Choice Requires="x14">
        <oleObject progId="Equation.3" shapeId="3225" r:id="rId73">
          <objectPr defaultSize="0" autoPict="0" r:id="rId74">
            <anchor moveWithCells="1">
              <from>
                <xdr:col>33</xdr:col>
                <xdr:colOff>0</xdr:colOff>
                <xdr:row>1023</xdr:row>
                <xdr:rowOff>66675</xdr:rowOff>
              </from>
              <to>
                <xdr:col>36</xdr:col>
                <xdr:colOff>47625</xdr:colOff>
                <xdr:row>1026</xdr:row>
                <xdr:rowOff>66675</xdr:rowOff>
              </to>
            </anchor>
          </objectPr>
        </oleObject>
      </mc:Choice>
      <mc:Fallback>
        <oleObject progId="Equation.3" shapeId="3225" r:id="rId73"/>
      </mc:Fallback>
    </mc:AlternateContent>
    <mc:AlternateContent xmlns:mc="http://schemas.openxmlformats.org/markup-compatibility/2006">
      <mc:Choice Requires="x14">
        <oleObject progId="Equation.3" shapeId="3281" r:id="rId75">
          <objectPr defaultSize="0" autoPict="0" r:id="rId76">
            <anchor moveWithCells="1">
              <from>
                <xdr:col>19</xdr:col>
                <xdr:colOff>0</xdr:colOff>
                <xdr:row>1048</xdr:row>
                <xdr:rowOff>28575</xdr:rowOff>
              </from>
              <to>
                <xdr:col>34</xdr:col>
                <xdr:colOff>314325</xdr:colOff>
                <xdr:row>1051</xdr:row>
                <xdr:rowOff>76200</xdr:rowOff>
              </to>
            </anchor>
          </objectPr>
        </oleObject>
      </mc:Choice>
      <mc:Fallback>
        <oleObject progId="Equation.3" shapeId="3281" r:id="rId7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82E6-0EC0-2943-A553-339318FFFE97}">
  <sheetPr codeName="Feuil8">
    <pageSetUpPr fitToPage="1"/>
  </sheetPr>
  <dimension ref="A1:M79"/>
  <sheetViews>
    <sheetView showGridLines="0" workbookViewId="0">
      <selection activeCell="B80" sqref="B80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1.28515625" customWidth="1"/>
  </cols>
  <sheetData>
    <row r="1" spans="1:13" x14ac:dyDescent="0.2">
      <c r="A1" s="51"/>
      <c r="B1" s="52"/>
      <c r="C1" s="53"/>
      <c r="D1" s="52"/>
      <c r="E1" s="72"/>
      <c r="F1" s="72"/>
      <c r="G1" s="72"/>
      <c r="H1" s="72"/>
      <c r="I1" s="72"/>
      <c r="J1" s="72"/>
      <c r="K1" s="72"/>
      <c r="L1" s="72"/>
      <c r="M1" s="73"/>
    </row>
    <row r="2" spans="1:13" ht="12.75" customHeight="1" x14ac:dyDescent="0.2">
      <c r="A2" s="56"/>
      <c r="B2" s="2"/>
      <c r="C2" s="591" t="s">
        <v>286</v>
      </c>
      <c r="D2" s="591"/>
      <c r="M2" s="75"/>
    </row>
    <row r="3" spans="1:13" ht="12.75" customHeight="1" x14ac:dyDescent="0.2">
      <c r="A3" s="56"/>
      <c r="B3" s="2"/>
      <c r="C3" s="591"/>
      <c r="D3" s="591"/>
      <c r="M3" s="75"/>
    </row>
    <row r="4" spans="1:13" x14ac:dyDescent="0.2">
      <c r="A4" s="56"/>
      <c r="B4" s="2"/>
      <c r="C4" s="595" t="str">
        <f>IF(Lang="Français","Abaques de performance",IF(Lang="English","Performance charts",""))</f>
        <v>Abaques de performance</v>
      </c>
      <c r="D4" s="595"/>
      <c r="M4" s="75"/>
    </row>
    <row r="5" spans="1:13" x14ac:dyDescent="0.2">
      <c r="A5" s="56"/>
      <c r="B5" s="2"/>
      <c r="C5" s="595" t="str">
        <f>IF(Lang="Français","Calcul analytique simple",IF(Lang="English","Analytical computation",""))</f>
        <v>Calcul analytique simple</v>
      </c>
      <c r="D5" s="595"/>
      <c r="M5" s="75"/>
    </row>
    <row r="6" spans="1:13" x14ac:dyDescent="0.2">
      <c r="A6" s="56"/>
      <c r="B6" s="87"/>
      <c r="C6" s="1"/>
      <c r="D6" s="1"/>
      <c r="M6" s="75"/>
    </row>
    <row r="7" spans="1:13" x14ac:dyDescent="0.2">
      <c r="A7" s="59"/>
      <c r="B7" s="6"/>
      <c r="C7" s="592" t="str">
        <f>IF(Lang="Français","Fusée",IF(Lang="English","Rocket",""))</f>
        <v>Fusée</v>
      </c>
      <c r="D7" s="592"/>
      <c r="M7" s="75"/>
    </row>
    <row r="8" spans="1:13" ht="15.75" x14ac:dyDescent="0.25">
      <c r="A8" s="59"/>
      <c r="B8" s="140" t="str">
        <f>IF(Lang="Français","Nom",IF(Lang="English","Name",""))</f>
        <v>Nom</v>
      </c>
      <c r="C8" s="593" t="str">
        <f>Nom</f>
        <v>Ma fusée</v>
      </c>
      <c r="D8" s="593"/>
      <c r="M8" s="75"/>
    </row>
    <row r="9" spans="1:13" ht="15.75" x14ac:dyDescent="0.25">
      <c r="A9" s="59"/>
      <c r="B9" s="140" t="s">
        <v>4</v>
      </c>
      <c r="C9" s="593" t="str">
        <f>Club</f>
        <v>Mon club</v>
      </c>
      <c r="D9" s="593"/>
      <c r="M9" s="75"/>
    </row>
    <row r="10" spans="1:13" x14ac:dyDescent="0.2">
      <c r="A10" s="59"/>
      <c r="B10" s="140" t="str">
        <f>IF(Lang="Français","Masse sans propu",IF(Lang="English","Mass without M",""))</f>
        <v>Masse sans propu</v>
      </c>
      <c r="C10" s="654">
        <f>MasseSans</f>
        <v>6.83</v>
      </c>
      <c r="D10" s="654"/>
      <c r="M10" s="75"/>
    </row>
    <row r="11" spans="1:13" x14ac:dyDescent="0.2">
      <c r="A11" s="59"/>
      <c r="B11" s="140" t="str">
        <f>IF(Lang="Français","Masse totale",IF(Lang="English","Total mass",""))</f>
        <v>Masse totale</v>
      </c>
      <c r="C11" s="657" t="str">
        <f ca="1">MassePlein &amp; " kg ±" &amp; MasseSans &amp; " kg"</f>
        <v>8,515 kg ±6,83 kg</v>
      </c>
      <c r="D11" s="657"/>
      <c r="M11" s="75"/>
    </row>
    <row r="12" spans="1:13" x14ac:dyDescent="0.2">
      <c r="A12" s="59"/>
      <c r="B12" s="227" t="str">
        <f>IF(Lang="Français","Propulseur",IF(Lang="English","Motor",""))</f>
        <v>Propulseur</v>
      </c>
      <c r="C12" s="620" t="str">
        <f>Propu</f>
        <v>Barasinga (Pro54-5G)</v>
      </c>
      <c r="D12" s="621"/>
      <c r="M12" s="75"/>
    </row>
    <row r="13" spans="1:13" x14ac:dyDescent="0.2">
      <c r="A13" s="59"/>
      <c r="B13" s="1"/>
      <c r="C13" s="1"/>
      <c r="D13" s="1"/>
      <c r="M13" s="75"/>
    </row>
    <row r="14" spans="1:13" x14ac:dyDescent="0.2">
      <c r="A14" s="74"/>
      <c r="C14" s="592" t="str">
        <f>IF(Lang="Français","Traînée Aérdynamique",IF(Lang="English","Drag",""))</f>
        <v>Traînée Aérdynamique</v>
      </c>
      <c r="D14" s="592"/>
      <c r="M14" s="75"/>
    </row>
    <row r="15" spans="1:13" x14ac:dyDescent="0.2">
      <c r="A15" s="74"/>
      <c r="B15" s="139" t="str">
        <f>IF(Lang="Français","Diamètre Ø",IF(Lang="English","Diameter Ø",""))</f>
        <v>Diamètre Ø</v>
      </c>
      <c r="C15" s="655">
        <f>D_ref</f>
        <v>104</v>
      </c>
      <c r="D15" s="655"/>
      <c r="M15" s="75"/>
    </row>
    <row r="16" spans="1:13" x14ac:dyDescent="0.2">
      <c r="A16" s="74"/>
      <c r="B16" s="140" t="s">
        <v>5</v>
      </c>
      <c r="C16" s="656">
        <f>Cx</f>
        <v>0.5</v>
      </c>
      <c r="D16" s="656"/>
      <c r="M16" s="75"/>
    </row>
    <row r="17" spans="1:13" x14ac:dyDescent="0.2">
      <c r="A17" s="74"/>
      <c r="M17" s="75"/>
    </row>
    <row r="18" spans="1:13" x14ac:dyDescent="0.2">
      <c r="A18" s="74"/>
      <c r="M18" s="75"/>
    </row>
    <row r="19" spans="1:13" x14ac:dyDescent="0.2">
      <c r="A19" s="74"/>
      <c r="M19" s="75"/>
    </row>
    <row r="20" spans="1:13" x14ac:dyDescent="0.2">
      <c r="A20" s="74"/>
      <c r="M20" s="75"/>
    </row>
    <row r="21" spans="1:13" x14ac:dyDescent="0.2">
      <c r="A21" s="74"/>
      <c r="M21" s="75"/>
    </row>
    <row r="22" spans="1:13" x14ac:dyDescent="0.2">
      <c r="A22" s="74"/>
      <c r="M22" s="75"/>
    </row>
    <row r="23" spans="1:13" x14ac:dyDescent="0.2">
      <c r="A23" s="74"/>
      <c r="M23" s="75"/>
    </row>
    <row r="24" spans="1:13" x14ac:dyDescent="0.2">
      <c r="A24" s="74"/>
      <c r="M24" s="75"/>
    </row>
    <row r="25" spans="1:13" x14ac:dyDescent="0.2">
      <c r="A25" s="74"/>
      <c r="M25" s="75"/>
    </row>
    <row r="26" spans="1:13" x14ac:dyDescent="0.2">
      <c r="A26" s="74"/>
      <c r="M26" s="75"/>
    </row>
    <row r="27" spans="1:13" x14ac:dyDescent="0.2">
      <c r="A27" s="74"/>
      <c r="M27" s="75"/>
    </row>
    <row r="28" spans="1:13" x14ac:dyDescent="0.2">
      <c r="A28" s="74"/>
      <c r="M28" s="75"/>
    </row>
    <row r="29" spans="1:13" x14ac:dyDescent="0.2">
      <c r="A29" s="74"/>
      <c r="M29" s="75"/>
    </row>
    <row r="30" spans="1:13" x14ac:dyDescent="0.2">
      <c r="A30" s="74"/>
      <c r="M30" s="75"/>
    </row>
    <row r="31" spans="1:13" x14ac:dyDescent="0.2">
      <c r="A31" s="74"/>
      <c r="M31" s="75"/>
    </row>
    <row r="32" spans="1:13" x14ac:dyDescent="0.2">
      <c r="A32" s="74"/>
      <c r="M32" s="75"/>
    </row>
    <row r="33" spans="1:13" x14ac:dyDescent="0.2">
      <c r="A33" s="74"/>
      <c r="M33" s="75"/>
    </row>
    <row r="34" spans="1:13" x14ac:dyDescent="0.2">
      <c r="A34" s="74"/>
      <c r="M34" s="75"/>
    </row>
    <row r="35" spans="1:13" ht="13.5" thickBot="1" x14ac:dyDescent="0.2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9"/>
    </row>
    <row r="39" spans="1:13" x14ac:dyDescent="0.2">
      <c r="B39" s="419" t="s">
        <v>64</v>
      </c>
      <c r="C39" s="170" t="s">
        <v>290</v>
      </c>
      <c r="D39" s="134" t="s">
        <v>287</v>
      </c>
      <c r="E39" s="134" t="s">
        <v>291</v>
      </c>
      <c r="F39" s="134" t="s">
        <v>292</v>
      </c>
      <c r="G39" s="134" t="s">
        <v>13</v>
      </c>
      <c r="H39" s="134" t="s">
        <v>288</v>
      </c>
      <c r="I39" s="134" t="s">
        <v>289</v>
      </c>
      <c r="J39" s="134" t="s">
        <v>304</v>
      </c>
      <c r="K39" s="134" t="s">
        <v>305</v>
      </c>
      <c r="L39" s="134" t="s">
        <v>307</v>
      </c>
      <c r="M39" s="134" t="s">
        <v>295</v>
      </c>
    </row>
    <row r="40" spans="1:13" x14ac:dyDescent="0.2">
      <c r="B40" s="420" t="s">
        <v>296</v>
      </c>
      <c r="C40" s="170" t="s">
        <v>297</v>
      </c>
      <c r="D40" s="134" t="s">
        <v>298</v>
      </c>
      <c r="E40" s="134" t="s">
        <v>299</v>
      </c>
      <c r="F40" s="134" t="s">
        <v>300</v>
      </c>
      <c r="G40" s="134" t="s">
        <v>301</v>
      </c>
      <c r="H40" s="134" t="s">
        <v>302</v>
      </c>
      <c r="I40" s="134" t="s">
        <v>303</v>
      </c>
      <c r="J40" s="134" t="s">
        <v>293</v>
      </c>
      <c r="K40" s="134" t="s">
        <v>294</v>
      </c>
      <c r="L40" s="134"/>
      <c r="M40" s="134"/>
    </row>
    <row r="41" spans="1:13" x14ac:dyDescent="0.2">
      <c r="B41" s="425">
        <f t="shared" ref="B41:B49" ca="1" si="0">MAX(D_ref*0.5, Diam_propu)</f>
        <v>54</v>
      </c>
      <c r="C41" s="403">
        <f t="shared" ref="C41:C67" ca="1" si="1">1/2*Rho_moyen*PI()*D_var^2/4*Cx/10^6</f>
        <v>7.0138019486800632E-4</v>
      </c>
      <c r="D41" s="400">
        <f ca="1">MpropuPlein+0*MasseSans</f>
        <v>1.6850000000000001</v>
      </c>
      <c r="E41" s="400">
        <f t="shared" ref="E41:E67" ca="1" si="2">m_var - 0.5*m_poudre</f>
        <v>1.1685000000000001</v>
      </c>
      <c r="F41" s="400">
        <f t="shared" ref="F41:F67" ca="1" si="3">m_var - m_poudre</f>
        <v>0.65200000000000014</v>
      </c>
      <c r="G41" s="407">
        <f t="shared" ref="G41:G67" ca="1" si="4">MAX(0, (I_total/Temps_fin_propu)/m_prop-g)</f>
        <v>480.87217115245477</v>
      </c>
      <c r="H41" s="406">
        <f t="shared" ref="H41:H67" ca="1" si="5">Q_var/m_prop</f>
        <v>6.0023979021652223E-4</v>
      </c>
      <c r="I41" s="403">
        <f t="shared" ref="I41:I67" ca="1" si="6">Q_var/m_bal</f>
        <v>1.0757364951963285E-3</v>
      </c>
      <c r="J41" s="403">
        <f t="shared" ref="J41:J67" ca="1" si="7">1/(2*b_prop)*LN(  ((EXP(2*SQRT(a_prop*b_prop)*Temps_fin_propu)+1)^2)  /  (((1+1)^2)*EXP(2*SQRT(a_prop*b_prop)*Temps_fin_propu)))</f>
        <v>2093.3057315751853</v>
      </c>
      <c r="K41" s="410">
        <f t="shared" ref="K41:K67" ca="1" si="8">SQRT(a_prop/b_prop)  *  (EXP(2*SQRT(a_prop*b_prop)*Temps_fin_propu)-1)/(EXP(2*SQRT(a_prop*b_prop)*Temps_fin_propu)+1)</f>
        <v>858.03255877092988</v>
      </c>
      <c r="L41" s="413">
        <f t="shared" ref="L41:L67" ca="1" si="9">alt_prop + 1/(2*b_bal) * LN(1+b_bal/g*V_prop^2)</f>
        <v>4140.0163847444119</v>
      </c>
      <c r="M41" s="416">
        <f t="shared" ref="M41:M67" ca="1" si="10">Temps_fin_propu + ATAN(SQRT(b_bal/g)*V_prop)/SQRT(b_bal*g)</f>
        <v>17.801914529830043</v>
      </c>
    </row>
    <row r="42" spans="1:13" x14ac:dyDescent="0.2">
      <c r="B42" s="426">
        <f t="shared" ca="1" si="0"/>
        <v>54</v>
      </c>
      <c r="C42" s="404">
        <f t="shared" ca="1" si="1"/>
        <v>7.0138019486800632E-4</v>
      </c>
      <c r="D42" s="401">
        <f ca="1">MpropuPlein+0.25*MasseSans</f>
        <v>3.3925000000000001</v>
      </c>
      <c r="E42" s="401">
        <f t="shared" ca="1" si="2"/>
        <v>2.8760000000000003</v>
      </c>
      <c r="F42" s="401">
        <f t="shared" ca="1" si="3"/>
        <v>2.3595000000000002</v>
      </c>
      <c r="G42" s="408">
        <f t="shared" ca="1" si="4"/>
        <v>189.55095862018197</v>
      </c>
      <c r="H42" s="404">
        <f t="shared" ca="1" si="5"/>
        <v>2.4387350308345139E-4</v>
      </c>
      <c r="I42" s="404">
        <f t="shared" ca="1" si="6"/>
        <v>2.9725797621021671E-4</v>
      </c>
      <c r="J42" s="404">
        <f t="shared" ca="1" si="7"/>
        <v>1116.5340795685506</v>
      </c>
      <c r="K42" s="411">
        <f t="shared" ca="1" si="8"/>
        <v>571.29843505233191</v>
      </c>
      <c r="L42" s="414">
        <f t="shared" ca="1" si="9"/>
        <v>5132.9662367950223</v>
      </c>
      <c r="M42" s="417">
        <f t="shared" ca="1" si="10"/>
        <v>26.977069308132421</v>
      </c>
    </row>
    <row r="43" spans="1:13" x14ac:dyDescent="0.2">
      <c r="B43" s="426">
        <f t="shared" ca="1" si="0"/>
        <v>54</v>
      </c>
      <c r="C43" s="404">
        <f t="shared" ca="1" si="1"/>
        <v>7.0138019486800632E-4</v>
      </c>
      <c r="D43" s="401">
        <f ca="1">MpropuPlein+0.5*MasseSans</f>
        <v>5.0999999999999996</v>
      </c>
      <c r="E43" s="401">
        <f t="shared" ca="1" si="2"/>
        <v>4.5834999999999999</v>
      </c>
      <c r="F43" s="401">
        <f t="shared" ca="1" si="3"/>
        <v>4.0670000000000002</v>
      </c>
      <c r="G43" s="408">
        <f t="shared" ca="1" si="4"/>
        <v>115.28264033852808</v>
      </c>
      <c r="H43" s="404">
        <f t="shared" ca="1" si="5"/>
        <v>1.5302284168604917E-4</v>
      </c>
      <c r="I43" s="404">
        <f t="shared" ca="1" si="6"/>
        <v>1.7245640395082524E-4</v>
      </c>
      <c r="J43" s="404">
        <f t="shared" ca="1" si="7"/>
        <v>716.33392695671091</v>
      </c>
      <c r="K43" s="411">
        <f t="shared" ca="1" si="8"/>
        <v>385.1116932414663</v>
      </c>
      <c r="L43" s="414">
        <f t="shared" ca="1" si="9"/>
        <v>4435.962287426506</v>
      </c>
      <c r="M43" s="417">
        <f t="shared" ca="1" si="10"/>
        <v>28.298557000975666</v>
      </c>
    </row>
    <row r="44" spans="1:13" x14ac:dyDescent="0.2">
      <c r="B44" s="426">
        <f t="shared" ca="1" si="0"/>
        <v>54</v>
      </c>
      <c r="C44" s="404">
        <f t="shared" ca="1" si="1"/>
        <v>7.0138019486800632E-4</v>
      </c>
      <c r="D44" s="401">
        <f ca="1">MpropuPlein+0.75*MasseSans</f>
        <v>6.807500000000001</v>
      </c>
      <c r="E44" s="401">
        <f t="shared" ca="1" si="2"/>
        <v>6.2910000000000013</v>
      </c>
      <c r="F44" s="401">
        <f t="shared" ca="1" si="3"/>
        <v>5.7745000000000015</v>
      </c>
      <c r="G44" s="408">
        <f t="shared" ca="1" si="4"/>
        <v>81.330059925551311</v>
      </c>
      <c r="H44" s="404">
        <f t="shared" ca="1" si="5"/>
        <v>1.1148946031918712E-4</v>
      </c>
      <c r="I44" s="404">
        <f t="shared" ca="1" si="6"/>
        <v>1.2146163215308791E-4</v>
      </c>
      <c r="J44" s="404">
        <f t="shared" ca="1" si="7"/>
        <v>514.19439787643876</v>
      </c>
      <c r="K44" s="411">
        <f t="shared" ca="1" si="8"/>
        <v>281.10895788261774</v>
      </c>
      <c r="L44" s="414">
        <f t="shared" ca="1" si="9"/>
        <v>3322.8668868540826</v>
      </c>
      <c r="M44" s="417">
        <f t="shared" ca="1" si="10"/>
        <v>26.18475328809112</v>
      </c>
    </row>
    <row r="45" spans="1:13" x14ac:dyDescent="0.2">
      <c r="B45" s="426">
        <f t="shared" ca="1" si="0"/>
        <v>54</v>
      </c>
      <c r="C45" s="404">
        <f t="shared" ca="1" si="1"/>
        <v>7.0138019486800632E-4</v>
      </c>
      <c r="D45" s="401">
        <f ca="1">MpropuPlein+1*MasseSans</f>
        <v>8.5150000000000006</v>
      </c>
      <c r="E45" s="401">
        <f t="shared" ca="1" si="2"/>
        <v>7.9985000000000008</v>
      </c>
      <c r="F45" s="401">
        <f t="shared" ca="1" si="3"/>
        <v>7.4820000000000011</v>
      </c>
      <c r="G45" s="408">
        <f t="shared" ca="1" si="4"/>
        <v>61.873705318702676</v>
      </c>
      <c r="H45" s="404">
        <f t="shared" ca="1" si="5"/>
        <v>8.7688966039633207E-5</v>
      </c>
      <c r="I45" s="404">
        <f t="shared" ca="1" si="6"/>
        <v>9.3742340933975697E-5</v>
      </c>
      <c r="J45" s="404">
        <f t="shared" ca="1" si="7"/>
        <v>394.15530343088784</v>
      </c>
      <c r="K45" s="411">
        <f t="shared" ca="1" si="8"/>
        <v>217.08994287264608</v>
      </c>
      <c r="L45" s="414">
        <f t="shared" ca="1" si="9"/>
        <v>2377.2616755373183</v>
      </c>
      <c r="M45" s="417">
        <f t="shared" ca="1" si="10"/>
        <v>23.080464160677586</v>
      </c>
    </row>
    <row r="46" spans="1:13" x14ac:dyDescent="0.2">
      <c r="B46" s="426">
        <f t="shared" ca="1" si="0"/>
        <v>54</v>
      </c>
      <c r="C46" s="404">
        <f t="shared" ca="1" si="1"/>
        <v>7.0138019486800632E-4</v>
      </c>
      <c r="D46" s="401">
        <f ca="1">MpropuPlein+1.25*MasseSans</f>
        <v>10.2225</v>
      </c>
      <c r="E46" s="401">
        <f t="shared" ca="1" si="2"/>
        <v>9.7059999999999995</v>
      </c>
      <c r="F46" s="401">
        <f t="shared" ca="1" si="3"/>
        <v>9.1895000000000007</v>
      </c>
      <c r="G46" s="408">
        <f t="shared" ca="1" si="4"/>
        <v>49.262956623907222</v>
      </c>
      <c r="H46" s="404">
        <f t="shared" ca="1" si="5"/>
        <v>7.2262538107150873E-5</v>
      </c>
      <c r="I46" s="404">
        <f t="shared" ca="1" si="6"/>
        <v>7.6324086715055909E-5</v>
      </c>
      <c r="J46" s="404">
        <f t="shared" ca="1" si="7"/>
        <v>315.05479475101492</v>
      </c>
      <c r="K46" s="411">
        <f t="shared" ca="1" si="8"/>
        <v>174.19806333172252</v>
      </c>
      <c r="L46" s="414">
        <f t="shared" ca="1" si="9"/>
        <v>1703.567332157992</v>
      </c>
      <c r="M46" s="417">
        <f t="shared" ca="1" si="10"/>
        <v>20.119469191739569</v>
      </c>
    </row>
    <row r="47" spans="1:13" x14ac:dyDescent="0.2">
      <c r="B47" s="426">
        <f t="shared" ca="1" si="0"/>
        <v>54</v>
      </c>
      <c r="C47" s="404">
        <f t="shared" ca="1" si="1"/>
        <v>7.0138019486800632E-4</v>
      </c>
      <c r="D47" s="401">
        <f ca="1">MpropuPlein+1.5*MasseSans</f>
        <v>11.930000000000001</v>
      </c>
      <c r="E47" s="401">
        <f t="shared" ca="1" si="2"/>
        <v>11.413500000000001</v>
      </c>
      <c r="F47" s="401">
        <f t="shared" ca="1" si="3"/>
        <v>10.897000000000002</v>
      </c>
      <c r="G47" s="408">
        <f t="shared" ca="1" si="4"/>
        <v>40.425433214320179</v>
      </c>
      <c r="H47" s="404">
        <f t="shared" ca="1" si="5"/>
        <v>6.1451806620931905E-5</v>
      </c>
      <c r="I47" s="404">
        <f t="shared" ca="1" si="6"/>
        <v>6.4364521874644962E-5</v>
      </c>
      <c r="J47" s="404">
        <f t="shared" ca="1" si="7"/>
        <v>259.12518453286225</v>
      </c>
      <c r="K47" s="411">
        <f t="shared" ca="1" si="8"/>
        <v>143.59804861847175</v>
      </c>
      <c r="L47" s="414">
        <f t="shared" ca="1" si="9"/>
        <v>1244.8434713328334</v>
      </c>
      <c r="M47" s="417">
        <f t="shared" ca="1" si="10"/>
        <v>17.61668942751815</v>
      </c>
    </row>
    <row r="48" spans="1:13" x14ac:dyDescent="0.2">
      <c r="B48" s="426">
        <f t="shared" ca="1" si="0"/>
        <v>54</v>
      </c>
      <c r="C48" s="404">
        <f t="shared" ca="1" si="1"/>
        <v>7.0138019486800632E-4</v>
      </c>
      <c r="D48" s="401">
        <f ca="1">MpropuPlein+1.75*MasseSans</f>
        <v>13.637500000000001</v>
      </c>
      <c r="E48" s="401">
        <f t="shared" ca="1" si="2"/>
        <v>13.121</v>
      </c>
      <c r="F48" s="401">
        <f t="shared" ca="1" si="3"/>
        <v>12.604500000000002</v>
      </c>
      <c r="G48" s="408">
        <f t="shared" ca="1" si="4"/>
        <v>33.888050224193535</v>
      </c>
      <c r="H48" s="404">
        <f t="shared" ca="1" si="5"/>
        <v>5.3454782018749053E-5</v>
      </c>
      <c r="I48" s="404">
        <f t="shared" ca="1" si="6"/>
        <v>5.5645221537387935E-5</v>
      </c>
      <c r="J48" s="404">
        <f t="shared" ca="1" si="7"/>
        <v>217.53182212349637</v>
      </c>
      <c r="K48" s="411">
        <f t="shared" ca="1" si="8"/>
        <v>120.72009481607182</v>
      </c>
      <c r="L48" s="414">
        <f t="shared" ca="1" si="9"/>
        <v>931.20451065209465</v>
      </c>
      <c r="M48" s="417">
        <f t="shared" ca="1" si="10"/>
        <v>15.572620910100287</v>
      </c>
    </row>
    <row r="49" spans="2:13" x14ac:dyDescent="0.2">
      <c r="B49" s="427">
        <f t="shared" ca="1" si="0"/>
        <v>54</v>
      </c>
      <c r="C49" s="405">
        <f t="shared" ca="1" si="1"/>
        <v>7.0138019486800632E-4</v>
      </c>
      <c r="D49" s="402">
        <f ca="1">MpropuPlein+2*MasseSans</f>
        <v>15.345000000000001</v>
      </c>
      <c r="E49" s="402">
        <f t="shared" ca="1" si="2"/>
        <v>14.8285</v>
      </c>
      <c r="F49" s="402">
        <f t="shared" ca="1" si="3"/>
        <v>14.312000000000001</v>
      </c>
      <c r="G49" s="409">
        <f t="shared" ca="1" si="4"/>
        <v>28.856224971618396</v>
      </c>
      <c r="H49" s="405">
        <f t="shared" ca="1" si="5"/>
        <v>4.7299470267930427E-5</v>
      </c>
      <c r="I49" s="405">
        <f t="shared" ca="1" si="6"/>
        <v>4.9006441787870756E-5</v>
      </c>
      <c r="J49" s="405">
        <f t="shared" ca="1" si="7"/>
        <v>185.40833038823075</v>
      </c>
      <c r="K49" s="412">
        <f t="shared" ca="1" si="8"/>
        <v>102.99065988223832</v>
      </c>
      <c r="L49" s="415">
        <f t="shared" ca="1" si="9"/>
        <v>712.19729630759412</v>
      </c>
      <c r="M49" s="418">
        <f t="shared" ca="1" si="10"/>
        <v>13.908786193233935</v>
      </c>
    </row>
    <row r="50" spans="2:13" x14ac:dyDescent="0.2">
      <c r="B50" s="425">
        <f t="shared" ref="B50:B58" si="11">D_ref</f>
        <v>104</v>
      </c>
      <c r="C50" s="403">
        <f t="shared" si="1"/>
        <v>2.601552876437708E-3</v>
      </c>
      <c r="D50" s="400">
        <f ca="1">MpropuPlein+0*MasseSans</f>
        <v>1.6850000000000001</v>
      </c>
      <c r="E50" s="400">
        <f t="shared" ca="1" si="2"/>
        <v>1.1685000000000001</v>
      </c>
      <c r="F50" s="400">
        <f t="shared" ca="1" si="3"/>
        <v>0.65200000000000014</v>
      </c>
      <c r="G50" s="407">
        <f t="shared" ca="1" si="4"/>
        <v>480.87217115245477</v>
      </c>
      <c r="H50" s="403">
        <f t="shared" ca="1" si="5"/>
        <v>2.2264038309265793E-3</v>
      </c>
      <c r="I50" s="403">
        <f t="shared" ca="1" si="6"/>
        <v>3.9901117736774652E-3</v>
      </c>
      <c r="J50" s="403">
        <f t="shared" ca="1" si="7"/>
        <v>1357.3635275601007</v>
      </c>
      <c r="K50" s="410">
        <f t="shared" ca="1" si="8"/>
        <v>464.1915134373819</v>
      </c>
      <c r="L50" s="413">
        <f t="shared" ca="1" si="9"/>
        <v>1919.3279369936813</v>
      </c>
      <c r="M50" s="416">
        <f t="shared" ca="1" si="10"/>
        <v>10.991628349718576</v>
      </c>
    </row>
    <row r="51" spans="2:13" x14ac:dyDescent="0.2">
      <c r="B51" s="426">
        <f t="shared" si="11"/>
        <v>104</v>
      </c>
      <c r="C51" s="404">
        <f t="shared" si="1"/>
        <v>2.601552876437708E-3</v>
      </c>
      <c r="D51" s="401">
        <f ca="1">MpropuPlein+0.25*MasseSans</f>
        <v>3.3925000000000001</v>
      </c>
      <c r="E51" s="401">
        <f t="shared" ca="1" si="2"/>
        <v>2.8760000000000003</v>
      </c>
      <c r="F51" s="401">
        <f t="shared" ca="1" si="3"/>
        <v>2.3595000000000002</v>
      </c>
      <c r="G51" s="408">
        <f t="shared" ca="1" si="4"/>
        <v>189.55095862018197</v>
      </c>
      <c r="H51" s="404">
        <f t="shared" ca="1" si="5"/>
        <v>9.0457332282256879E-4</v>
      </c>
      <c r="I51" s="404">
        <f t="shared" ca="1" si="6"/>
        <v>1.102586512582203E-3</v>
      </c>
      <c r="J51" s="404">
        <f t="shared" ca="1" si="7"/>
        <v>932.24262766073718</v>
      </c>
      <c r="K51" s="411">
        <f t="shared" ca="1" si="8"/>
        <v>413.21748392141075</v>
      </c>
      <c r="L51" s="414">
        <f t="shared" ca="1" si="9"/>
        <v>2295.058359821724</v>
      </c>
      <c r="M51" s="417">
        <f t="shared" ca="1" si="10"/>
        <v>16.535654452329524</v>
      </c>
    </row>
    <row r="52" spans="2:13" x14ac:dyDescent="0.2">
      <c r="B52" s="426">
        <f t="shared" si="11"/>
        <v>104</v>
      </c>
      <c r="C52" s="404">
        <f t="shared" si="1"/>
        <v>2.601552876437708E-3</v>
      </c>
      <c r="D52" s="401">
        <f ca="1">MpropuPlein+0.5*MasseSans</f>
        <v>5.0999999999999996</v>
      </c>
      <c r="E52" s="401">
        <f t="shared" ca="1" si="2"/>
        <v>4.5834999999999999</v>
      </c>
      <c r="F52" s="401">
        <f t="shared" ca="1" si="3"/>
        <v>4.0670000000000002</v>
      </c>
      <c r="G52" s="408">
        <f t="shared" ca="1" si="4"/>
        <v>115.28264033852808</v>
      </c>
      <c r="H52" s="404">
        <f t="shared" ca="1" si="5"/>
        <v>5.6759089700833597E-4</v>
      </c>
      <c r="I52" s="404">
        <f t="shared" ca="1" si="6"/>
        <v>6.3967368488756029E-4</v>
      </c>
      <c r="J52" s="404">
        <f t="shared" ca="1" si="7"/>
        <v>657.22357420142635</v>
      </c>
      <c r="K52" s="411">
        <f t="shared" ca="1" si="8"/>
        <v>326.78582043084077</v>
      </c>
      <c r="L52" s="414">
        <f t="shared" ca="1" si="9"/>
        <v>2279.0231760618026</v>
      </c>
      <c r="M52" s="417">
        <f t="shared" ca="1" si="10"/>
        <v>18.846476934296959</v>
      </c>
    </row>
    <row r="53" spans="2:13" x14ac:dyDescent="0.2">
      <c r="B53" s="426">
        <f t="shared" si="11"/>
        <v>104</v>
      </c>
      <c r="C53" s="404">
        <f t="shared" si="1"/>
        <v>2.601552876437708E-3</v>
      </c>
      <c r="D53" s="401">
        <f ca="1">MpropuPlein+0.75*MasseSans</f>
        <v>6.807500000000001</v>
      </c>
      <c r="E53" s="401">
        <f t="shared" ca="1" si="2"/>
        <v>6.2910000000000013</v>
      </c>
      <c r="F53" s="401">
        <f t="shared" ca="1" si="3"/>
        <v>5.7745000000000015</v>
      </c>
      <c r="G53" s="408">
        <f t="shared" ca="1" si="4"/>
        <v>81.330059925551311</v>
      </c>
      <c r="H53" s="404">
        <f t="shared" ca="1" si="5"/>
        <v>4.1353566625937171E-4</v>
      </c>
      <c r="I53" s="404">
        <f t="shared" ca="1" si="6"/>
        <v>4.5052435300678976E-4</v>
      </c>
      <c r="J53" s="404">
        <f t="shared" ca="1" si="7"/>
        <v>490.10355267339514</v>
      </c>
      <c r="K53" s="411">
        <f t="shared" ca="1" si="8"/>
        <v>256.01103962827261</v>
      </c>
      <c r="L53" s="414">
        <f t="shared" ca="1" si="9"/>
        <v>2031.409255882641</v>
      </c>
      <c r="M53" s="417">
        <f t="shared" ca="1" si="10"/>
        <v>19.352807962815469</v>
      </c>
    </row>
    <row r="54" spans="2:13" x14ac:dyDescent="0.2">
      <c r="B54" s="426">
        <f t="shared" si="11"/>
        <v>104</v>
      </c>
      <c r="C54" s="404">
        <f t="shared" si="1"/>
        <v>2.601552876437708E-3</v>
      </c>
      <c r="D54" s="401">
        <f ca="1">MpropuPlein+1*MasseSans</f>
        <v>8.5150000000000006</v>
      </c>
      <c r="E54" s="401">
        <f t="shared" ca="1" si="2"/>
        <v>7.9985000000000008</v>
      </c>
      <c r="F54" s="401">
        <f t="shared" ca="1" si="3"/>
        <v>7.4820000000000011</v>
      </c>
      <c r="G54" s="408">
        <f t="shared" ca="1" si="4"/>
        <v>61.873705318702676</v>
      </c>
      <c r="H54" s="404">
        <f t="shared" ca="1" si="5"/>
        <v>3.2525509488500441E-4</v>
      </c>
      <c r="I54" s="404">
        <f t="shared" ca="1" si="6"/>
        <v>3.477082165781486E-4</v>
      </c>
      <c r="J54" s="404">
        <f t="shared" ca="1" si="7"/>
        <v>382.58690874830955</v>
      </c>
      <c r="K54" s="411">
        <f t="shared" ca="1" si="8"/>
        <v>204.72543312927166</v>
      </c>
      <c r="L54" s="414">
        <f t="shared" ca="1" si="9"/>
        <v>1691.8701569833411</v>
      </c>
      <c r="M54" s="417">
        <f t="shared" ca="1" si="10"/>
        <v>18.72093960414556</v>
      </c>
    </row>
    <row r="55" spans="2:13" x14ac:dyDescent="0.2">
      <c r="B55" s="426">
        <f t="shared" si="11"/>
        <v>104</v>
      </c>
      <c r="C55" s="404">
        <f t="shared" si="1"/>
        <v>2.601552876437708E-3</v>
      </c>
      <c r="D55" s="401">
        <f ca="1">MpropuPlein+1.25*MasseSans</f>
        <v>10.2225</v>
      </c>
      <c r="E55" s="401">
        <f t="shared" ca="1" si="2"/>
        <v>9.7059999999999995</v>
      </c>
      <c r="F55" s="401">
        <f t="shared" ca="1" si="3"/>
        <v>9.1895000000000007</v>
      </c>
      <c r="G55" s="408">
        <f t="shared" ca="1" si="4"/>
        <v>49.262956623907222</v>
      </c>
      <c r="H55" s="404">
        <f t="shared" ca="1" si="5"/>
        <v>2.6803553229319061E-4</v>
      </c>
      <c r="I55" s="404">
        <f t="shared" ca="1" si="6"/>
        <v>2.8310059050413056E-4</v>
      </c>
      <c r="J55" s="404">
        <f t="shared" ca="1" si="7"/>
        <v>308.83766659531523</v>
      </c>
      <c r="K55" s="411">
        <f t="shared" ca="1" si="8"/>
        <v>167.46072769890898</v>
      </c>
      <c r="L55" s="414">
        <f t="shared" ca="1" si="9"/>
        <v>1356.0411548393372</v>
      </c>
      <c r="M55" s="417">
        <f t="shared" ca="1" si="10"/>
        <v>17.491386049345877</v>
      </c>
    </row>
    <row r="56" spans="2:13" x14ac:dyDescent="0.2">
      <c r="B56" s="426">
        <f t="shared" si="11"/>
        <v>104</v>
      </c>
      <c r="C56" s="404">
        <f t="shared" si="1"/>
        <v>2.601552876437708E-3</v>
      </c>
      <c r="D56" s="401">
        <f ca="1">MpropuPlein+1.5*MasseSans</f>
        <v>11.930000000000001</v>
      </c>
      <c r="E56" s="401">
        <f t="shared" ca="1" si="2"/>
        <v>11.413500000000001</v>
      </c>
      <c r="F56" s="401">
        <f t="shared" ca="1" si="3"/>
        <v>10.897000000000002</v>
      </c>
      <c r="G56" s="408">
        <f t="shared" ca="1" si="4"/>
        <v>40.425433214320179</v>
      </c>
      <c r="H56" s="404">
        <f t="shared" ca="1" si="5"/>
        <v>2.2793646790534962E-4</v>
      </c>
      <c r="I56" s="404">
        <f t="shared" ca="1" si="6"/>
        <v>2.3874028415506171E-4</v>
      </c>
      <c r="J56" s="404">
        <f t="shared" ca="1" si="7"/>
        <v>255.50504808531466</v>
      </c>
      <c r="K56" s="411">
        <f t="shared" ca="1" si="8"/>
        <v>139.64275221165087</v>
      </c>
      <c r="L56" s="414">
        <f t="shared" ca="1" si="9"/>
        <v>1068.8604422536096</v>
      </c>
      <c r="M56" s="417">
        <f t="shared" ca="1" si="10"/>
        <v>16.054750401758874</v>
      </c>
    </row>
    <row r="57" spans="2:13" x14ac:dyDescent="0.2">
      <c r="B57" s="426">
        <f t="shared" si="11"/>
        <v>104</v>
      </c>
      <c r="C57" s="404">
        <f t="shared" si="1"/>
        <v>2.601552876437708E-3</v>
      </c>
      <c r="D57" s="401">
        <f ca="1">MpropuPlein+1.75*MasseSans</f>
        <v>13.637500000000001</v>
      </c>
      <c r="E57" s="401">
        <f t="shared" ca="1" si="2"/>
        <v>13.121</v>
      </c>
      <c r="F57" s="401">
        <f t="shared" ca="1" si="3"/>
        <v>12.604500000000002</v>
      </c>
      <c r="G57" s="408">
        <f t="shared" ca="1" si="4"/>
        <v>33.888050224193535</v>
      </c>
      <c r="H57" s="404">
        <f t="shared" ca="1" si="5"/>
        <v>1.9827397884594986E-4</v>
      </c>
      <c r="I57" s="404">
        <f t="shared" ca="1" si="6"/>
        <v>2.063987366764019E-4</v>
      </c>
      <c r="J57" s="404">
        <f t="shared" ca="1" si="7"/>
        <v>215.29543449337439</v>
      </c>
      <c r="K57" s="411">
        <f t="shared" ca="1" si="8"/>
        <v>118.26389393621177</v>
      </c>
      <c r="L57" s="414">
        <f t="shared" ca="1" si="9"/>
        <v>840.16587281166051</v>
      </c>
      <c r="M57" s="417">
        <f t="shared" ca="1" si="10"/>
        <v>14.635939959074671</v>
      </c>
    </row>
    <row r="58" spans="2:13" x14ac:dyDescent="0.2">
      <c r="B58" s="427">
        <f t="shared" si="11"/>
        <v>104</v>
      </c>
      <c r="C58" s="405">
        <f t="shared" si="1"/>
        <v>2.601552876437708E-3</v>
      </c>
      <c r="D58" s="402">
        <f ca="1">MpropuPlein+2*MasseSans</f>
        <v>15.345000000000001</v>
      </c>
      <c r="E58" s="402">
        <f t="shared" ca="1" si="2"/>
        <v>14.8285</v>
      </c>
      <c r="F58" s="402">
        <f t="shared" ca="1" si="3"/>
        <v>14.312000000000001</v>
      </c>
      <c r="G58" s="409">
        <f t="shared" ca="1" si="4"/>
        <v>28.856224971618396</v>
      </c>
      <c r="H58" s="405">
        <f t="shared" ca="1" si="5"/>
        <v>1.7544275391561575E-4</v>
      </c>
      <c r="I58" s="405">
        <f t="shared" ca="1" si="6"/>
        <v>1.8177423675501032E-4</v>
      </c>
      <c r="J58" s="405">
        <f t="shared" ca="1" si="7"/>
        <v>183.9633188810557</v>
      </c>
      <c r="K58" s="412">
        <f t="shared" ca="1" si="8"/>
        <v>101.3980580883605</v>
      </c>
      <c r="L58" s="415">
        <f t="shared" ca="1" si="9"/>
        <v>663.63405274800527</v>
      </c>
      <c r="M58" s="418">
        <f t="shared" ca="1" si="10"/>
        <v>13.335933214400615</v>
      </c>
    </row>
    <row r="59" spans="2:13" x14ac:dyDescent="0.2">
      <c r="B59" s="425">
        <f t="shared" ref="B59:B67" si="12">D_ref*1.5</f>
        <v>156</v>
      </c>
      <c r="C59" s="403">
        <f t="shared" si="1"/>
        <v>5.8534939719848429E-3</v>
      </c>
      <c r="D59" s="400">
        <f ca="1">MpropuPlein+0*MasseSans</f>
        <v>1.6850000000000001</v>
      </c>
      <c r="E59" s="400">
        <f t="shared" ca="1" si="2"/>
        <v>1.1685000000000001</v>
      </c>
      <c r="F59" s="400">
        <f t="shared" ca="1" si="3"/>
        <v>0.65200000000000014</v>
      </c>
      <c r="G59" s="407">
        <f t="shared" ca="1" si="4"/>
        <v>480.87217115245477</v>
      </c>
      <c r="H59" s="403">
        <f t="shared" ca="1" si="5"/>
        <v>5.0094086195848027E-3</v>
      </c>
      <c r="I59" s="403">
        <f t="shared" ca="1" si="6"/>
        <v>8.977751490774297E-3</v>
      </c>
      <c r="J59" s="403">
        <f t="shared" ca="1" si="7"/>
        <v>973.91872388612069</v>
      </c>
      <c r="K59" s="410">
        <f t="shared" ca="1" si="8"/>
        <v>309.81969976525187</v>
      </c>
      <c r="L59" s="413">
        <f t="shared" ca="1" si="9"/>
        <v>1223.8082609744511</v>
      </c>
      <c r="M59" s="416">
        <f t="shared" ca="1" si="10"/>
        <v>8.524830917711494</v>
      </c>
    </row>
    <row r="60" spans="2:13" x14ac:dyDescent="0.2">
      <c r="B60" s="426">
        <f t="shared" si="12"/>
        <v>156</v>
      </c>
      <c r="C60" s="404">
        <f t="shared" si="1"/>
        <v>5.8534939719848429E-3</v>
      </c>
      <c r="D60" s="401">
        <f ca="1">MpropuPlein+0.25*MasseSans</f>
        <v>3.3925000000000001</v>
      </c>
      <c r="E60" s="401">
        <f t="shared" ca="1" si="2"/>
        <v>2.8760000000000003</v>
      </c>
      <c r="F60" s="401">
        <f t="shared" ca="1" si="3"/>
        <v>2.3595000000000002</v>
      </c>
      <c r="G60" s="408">
        <f t="shared" ca="1" si="4"/>
        <v>189.55095862018197</v>
      </c>
      <c r="H60" s="404">
        <f t="shared" ca="1" si="5"/>
        <v>2.0352899763507798E-3</v>
      </c>
      <c r="I60" s="404">
        <f t="shared" ca="1" si="6"/>
        <v>2.4808196533099565E-3</v>
      </c>
      <c r="J60" s="404">
        <f t="shared" ca="1" si="7"/>
        <v>760.6664917368048</v>
      </c>
      <c r="K60" s="411">
        <f t="shared" ca="1" si="8"/>
        <v>298.19676042653987</v>
      </c>
      <c r="L60" s="414">
        <f t="shared" ca="1" si="9"/>
        <v>1396.8369190135295</v>
      </c>
      <c r="M60" s="417">
        <f t="shared" ca="1" si="10"/>
        <v>12.326785645251556</v>
      </c>
    </row>
    <row r="61" spans="2:13" x14ac:dyDescent="0.2">
      <c r="B61" s="426">
        <f t="shared" si="12"/>
        <v>156</v>
      </c>
      <c r="C61" s="404">
        <f t="shared" si="1"/>
        <v>5.8534939719848429E-3</v>
      </c>
      <c r="D61" s="401">
        <f ca="1">MpropuPlein+0.5*MasseSans</f>
        <v>5.0999999999999996</v>
      </c>
      <c r="E61" s="401">
        <f t="shared" ca="1" si="2"/>
        <v>4.5834999999999999</v>
      </c>
      <c r="F61" s="401">
        <f t="shared" ca="1" si="3"/>
        <v>4.0670000000000002</v>
      </c>
      <c r="G61" s="408">
        <f t="shared" ca="1" si="4"/>
        <v>115.28264033852808</v>
      </c>
      <c r="H61" s="404">
        <f t="shared" ca="1" si="5"/>
        <v>1.277079518268756E-3</v>
      </c>
      <c r="I61" s="404">
        <f t="shared" ca="1" si="6"/>
        <v>1.4392657909970106E-3</v>
      </c>
      <c r="J61" s="404">
        <f t="shared" ca="1" si="7"/>
        <v>584.14786854891247</v>
      </c>
      <c r="K61" s="411">
        <f t="shared" ca="1" si="8"/>
        <v>264.51238084276332</v>
      </c>
      <c r="L61" s="414">
        <f t="shared" ca="1" si="9"/>
        <v>1425.4487551265534</v>
      </c>
      <c r="M61" s="417">
        <f t="shared" ca="1" si="10"/>
        <v>14.263412789211923</v>
      </c>
    </row>
    <row r="62" spans="2:13" x14ac:dyDescent="0.2">
      <c r="B62" s="426">
        <f t="shared" si="12"/>
        <v>156</v>
      </c>
      <c r="C62" s="404">
        <f t="shared" si="1"/>
        <v>5.8534939719848429E-3</v>
      </c>
      <c r="D62" s="401">
        <f ca="1">MpropuPlein+0.75*MasseSans</f>
        <v>6.807500000000001</v>
      </c>
      <c r="E62" s="401">
        <f t="shared" ca="1" si="2"/>
        <v>6.2910000000000013</v>
      </c>
      <c r="F62" s="401">
        <f t="shared" ca="1" si="3"/>
        <v>5.7745000000000015</v>
      </c>
      <c r="G62" s="408">
        <f t="shared" ca="1" si="4"/>
        <v>81.330059925551311</v>
      </c>
      <c r="H62" s="404">
        <f t="shared" ca="1" si="5"/>
        <v>9.3045524908358639E-4</v>
      </c>
      <c r="I62" s="404">
        <f t="shared" ca="1" si="6"/>
        <v>1.0136797942652768E-3</v>
      </c>
      <c r="J62" s="404">
        <f t="shared" ca="1" si="7"/>
        <v>456.06342602853005</v>
      </c>
      <c r="K62" s="411">
        <f t="shared" ca="1" si="8"/>
        <v>223.60718174525005</v>
      </c>
      <c r="L62" s="414">
        <f t="shared" ca="1" si="9"/>
        <v>1353.3608915721309</v>
      </c>
      <c r="M62" s="417">
        <f t="shared" ca="1" si="10"/>
        <v>15.185753656933466</v>
      </c>
    </row>
    <row r="63" spans="2:13" x14ac:dyDescent="0.2">
      <c r="B63" s="426">
        <f t="shared" si="12"/>
        <v>156</v>
      </c>
      <c r="C63" s="404">
        <f t="shared" si="1"/>
        <v>5.8534939719848429E-3</v>
      </c>
      <c r="D63" s="401">
        <f ca="1">MpropuPlein+1*MasseSans</f>
        <v>8.5150000000000006</v>
      </c>
      <c r="E63" s="401">
        <f t="shared" ca="1" si="2"/>
        <v>7.9985000000000008</v>
      </c>
      <c r="F63" s="401">
        <f t="shared" ca="1" si="3"/>
        <v>7.4820000000000011</v>
      </c>
      <c r="G63" s="408">
        <f t="shared" ca="1" si="4"/>
        <v>61.873705318702676</v>
      </c>
      <c r="H63" s="404">
        <f t="shared" ca="1" si="5"/>
        <v>7.3182396349125991E-4</v>
      </c>
      <c r="I63" s="404">
        <f t="shared" ca="1" si="6"/>
        <v>7.8234348730083425E-4</v>
      </c>
      <c r="J63" s="404">
        <f t="shared" ca="1" si="7"/>
        <v>365.07162164789219</v>
      </c>
      <c r="K63" s="411">
        <f t="shared" ca="1" si="8"/>
        <v>187.07658598290263</v>
      </c>
      <c r="L63" s="414">
        <f t="shared" ca="1" si="9"/>
        <v>1216.7707607401983</v>
      </c>
      <c r="M63" s="417">
        <f t="shared" ca="1" si="10"/>
        <v>15.363497335308642</v>
      </c>
    </row>
    <row r="64" spans="2:13" x14ac:dyDescent="0.2">
      <c r="B64" s="426">
        <f t="shared" si="12"/>
        <v>156</v>
      </c>
      <c r="C64" s="404">
        <f t="shared" si="1"/>
        <v>5.8534939719848429E-3</v>
      </c>
      <c r="D64" s="401">
        <f ca="1">MpropuPlein+1.25*MasseSans</f>
        <v>10.2225</v>
      </c>
      <c r="E64" s="401">
        <f t="shared" ca="1" si="2"/>
        <v>9.7059999999999995</v>
      </c>
      <c r="F64" s="401">
        <f t="shared" ca="1" si="3"/>
        <v>9.1895000000000007</v>
      </c>
      <c r="G64" s="408">
        <f t="shared" ca="1" si="4"/>
        <v>49.262956623907222</v>
      </c>
      <c r="H64" s="404">
        <f t="shared" ca="1" si="5"/>
        <v>6.0307994765967888E-4</v>
      </c>
      <c r="I64" s="404">
        <f t="shared" ca="1" si="6"/>
        <v>6.3697632863429375E-4</v>
      </c>
      <c r="J64" s="404">
        <f t="shared" ca="1" si="7"/>
        <v>299.0487610765378</v>
      </c>
      <c r="K64" s="411">
        <f t="shared" ca="1" si="8"/>
        <v>157.27495002305949</v>
      </c>
      <c r="L64" s="414">
        <f t="shared" ca="1" si="9"/>
        <v>1050.9260014332201</v>
      </c>
      <c r="M64" s="417">
        <f t="shared" ca="1" si="10"/>
        <v>15.010240847825903</v>
      </c>
    </row>
    <row r="65" spans="2:13" x14ac:dyDescent="0.2">
      <c r="B65" s="426">
        <f t="shared" si="12"/>
        <v>156</v>
      </c>
      <c r="C65" s="404">
        <f t="shared" si="1"/>
        <v>5.8534939719848429E-3</v>
      </c>
      <c r="D65" s="401">
        <f ca="1">MpropuPlein+1.5*MasseSans</f>
        <v>11.930000000000001</v>
      </c>
      <c r="E65" s="401">
        <f t="shared" ca="1" si="2"/>
        <v>11.413500000000001</v>
      </c>
      <c r="F65" s="401">
        <f t="shared" ca="1" si="3"/>
        <v>10.897000000000002</v>
      </c>
      <c r="G65" s="408">
        <f t="shared" ca="1" si="4"/>
        <v>40.425433214320179</v>
      </c>
      <c r="H65" s="404">
        <f t="shared" ca="1" si="5"/>
        <v>5.128570527870366E-4</v>
      </c>
      <c r="I65" s="404">
        <f t="shared" ca="1" si="6"/>
        <v>5.3716563934888887E-4</v>
      </c>
      <c r="J65" s="404">
        <f t="shared" ca="1" si="7"/>
        <v>249.66723673979882</v>
      </c>
      <c r="K65" s="411">
        <f t="shared" ca="1" si="8"/>
        <v>133.44792896082555</v>
      </c>
      <c r="L65" s="414">
        <f t="shared" ca="1" si="9"/>
        <v>883.20985026188544</v>
      </c>
      <c r="M65" s="417">
        <f t="shared" ca="1" si="10"/>
        <v>14.322624628099668</v>
      </c>
    </row>
    <row r="66" spans="2:13" x14ac:dyDescent="0.2">
      <c r="B66" s="426">
        <f t="shared" si="12"/>
        <v>156</v>
      </c>
      <c r="C66" s="404">
        <f t="shared" si="1"/>
        <v>5.8534939719848429E-3</v>
      </c>
      <c r="D66" s="401">
        <f ca="1">MpropuPlein+1.75*MasseSans</f>
        <v>13.637500000000001</v>
      </c>
      <c r="E66" s="401">
        <f t="shared" ca="1" si="2"/>
        <v>13.121</v>
      </c>
      <c r="F66" s="401">
        <f t="shared" ca="1" si="3"/>
        <v>12.604500000000002</v>
      </c>
      <c r="G66" s="408">
        <f t="shared" ca="1" si="4"/>
        <v>33.888050224193535</v>
      </c>
      <c r="H66" s="404">
        <f t="shared" ca="1" si="5"/>
        <v>4.4611645240338714E-4</v>
      </c>
      <c r="I66" s="404">
        <f t="shared" ca="1" si="6"/>
        <v>4.6439715752190423E-4</v>
      </c>
      <c r="J66" s="404">
        <f t="shared" ca="1" si="7"/>
        <v>211.63275047268377</v>
      </c>
      <c r="K66" s="411">
        <f t="shared" ca="1" si="8"/>
        <v>114.3275091427704</v>
      </c>
      <c r="L66" s="414">
        <f t="shared" ca="1" si="9"/>
        <v>730.21930765805973</v>
      </c>
      <c r="M66" s="417">
        <f t="shared" ca="1" si="10"/>
        <v>13.464994663878107</v>
      </c>
    </row>
    <row r="67" spans="2:13" x14ac:dyDescent="0.2">
      <c r="B67" s="427">
        <f t="shared" si="12"/>
        <v>156</v>
      </c>
      <c r="C67" s="405">
        <f t="shared" si="1"/>
        <v>5.8534939719848429E-3</v>
      </c>
      <c r="D67" s="402">
        <f ca="1">MpropuPlein+2*MasseSans</f>
        <v>15.345000000000001</v>
      </c>
      <c r="E67" s="402">
        <f t="shared" ca="1" si="2"/>
        <v>14.8285</v>
      </c>
      <c r="F67" s="402">
        <f t="shared" ca="1" si="3"/>
        <v>14.312000000000001</v>
      </c>
      <c r="G67" s="409">
        <f t="shared" ca="1" si="4"/>
        <v>28.856224971618396</v>
      </c>
      <c r="H67" s="405">
        <f t="shared" ca="1" si="5"/>
        <v>3.9474619631013543E-4</v>
      </c>
      <c r="I67" s="405">
        <f t="shared" ca="1" si="6"/>
        <v>4.0899203269877322E-4</v>
      </c>
      <c r="J67" s="405">
        <f t="shared" ca="1" si="7"/>
        <v>181.57168389926809</v>
      </c>
      <c r="K67" s="412">
        <f t="shared" ca="1" si="8"/>
        <v>98.805413023124927</v>
      </c>
      <c r="L67" s="415">
        <f t="shared" ca="1" si="9"/>
        <v>599.02281729499521</v>
      </c>
      <c r="M67" s="418">
        <f t="shared" ca="1" si="10"/>
        <v>12.555221910096954</v>
      </c>
    </row>
    <row r="71" spans="2:13" x14ac:dyDescent="0.2">
      <c r="B71" s="24" t="str">
        <f>IF(Lang="Français","Textes pour les graphiques :","Texts for graphics :")</f>
        <v>Textes pour les graphiques :</v>
      </c>
    </row>
    <row r="73" spans="2:13" x14ac:dyDescent="0.2">
      <c r="B73" t="str">
        <f>IF(Lang="Français","Masse totale",IF(Lang="English","Total Mass",""))</f>
        <v>Masse totale</v>
      </c>
    </row>
    <row r="74" spans="2:13" x14ac:dyDescent="0.2">
      <c r="B74" t="str">
        <f>IF(Lang="Français","Vitesse max",IF(Lang="English","Max Velocity",""))</f>
        <v>Vitesse max</v>
      </c>
    </row>
    <row r="75" spans="2:13" x14ac:dyDescent="0.2">
      <c r="B75" t="str">
        <f>Abaco!$B$74 &amp; " / " &amp; Abaco!$B$73</f>
        <v>Vitesse max / Masse totale</v>
      </c>
    </row>
    <row r="76" spans="2:13" x14ac:dyDescent="0.2">
      <c r="B76" t="str">
        <f>IF(Lang="Français","Altitude max",IF(Lang="English","Max Altitude",""))</f>
        <v>Altitude max</v>
      </c>
    </row>
    <row r="77" spans="2:13" x14ac:dyDescent="0.2">
      <c r="B77" t="str">
        <f>Abaco!$B$76 &amp; " / " &amp; Abaco!$B$73</f>
        <v>Altitude max / Masse totale</v>
      </c>
    </row>
    <row r="78" spans="2:13" x14ac:dyDescent="0.2">
      <c r="B78" t="str">
        <f>IF(Lang="Français","Temps de culmination",IF(Lang="English","Apogee time",""))</f>
        <v>Temps de culmination</v>
      </c>
    </row>
    <row r="79" spans="2:13" x14ac:dyDescent="0.2">
      <c r="B79" t="str">
        <f>Abaco!$B$78 &amp; " / " &amp; Abaco!$B$73</f>
        <v>Temps de culmination / Masse totale</v>
      </c>
    </row>
  </sheetData>
  <sheetProtection password="C6AC" sheet="1"/>
  <mergeCells count="12">
    <mergeCell ref="C9:D9"/>
    <mergeCell ref="C2:D3"/>
    <mergeCell ref="C4:D4"/>
    <mergeCell ref="C5:D5"/>
    <mergeCell ref="C7:D7"/>
    <mergeCell ref="C8:D8"/>
    <mergeCell ref="C10:D10"/>
    <mergeCell ref="C12:D12"/>
    <mergeCell ref="C14:D14"/>
    <mergeCell ref="C15:D15"/>
    <mergeCell ref="C16:D16"/>
    <mergeCell ref="C11:D11"/>
  </mergeCells>
  <dataValidations count="3">
    <dataValidation type="decimal" errorStyle="warning" showErrorMessage="1" errorTitle="Cx" error="Le Cx est souvent compris entre 0 et 1._x000a_Cx may be between 0 &amp; 1." sqref="C16:D16" xr:uid="{D81E4ED2-9261-B642-B15E-49553D6C8983}">
      <formula1>0</formula1>
      <formula2>1</formula2>
    </dataValidation>
    <dataValidation operator="greaterThanOrEqual" sqref="C10:D11" xr:uid="{1C08AD22-3102-FB4A-9961-C2D98C3A3BF9}"/>
    <dataValidation sqref="C12:D12" xr:uid="{03A46D1E-7CC5-4549-87C5-1195B5F980EC}"/>
  </dataValidations>
  <hyperlinks>
    <hyperlink ref="B12" location="Stabilito!C17" display="Stabilito!C17" xr:uid="{65AA46A2-0591-9244-969E-2AE41021F0B8}"/>
  </hyperlinks>
  <pageMargins left="0.70866141732283472" right="0.70866141732283472" top="0.74803149606299213" bottom="0.74803149606299213" header="0.31496062992125984" footer="0.31496062992125984"/>
  <pageSetup paperSize="9" scale="92" orientation="landscape"/>
  <drawing r:id="rId1"/>
  <legacyDrawing r:id="rId2"/>
  <oleObjects>
    <mc:AlternateContent xmlns:mc="http://schemas.openxmlformats.org/markup-compatibility/2006">
      <mc:Choice Requires="x14">
        <oleObject progId="Equation.3" shapeId="2604101" r:id="rId3">
          <objectPr defaultSize="0" autoPict="0" r:id="rId4">
            <anchor moveWithCells="1">
              <from>
                <xdr:col>8</xdr:col>
                <xdr:colOff>352425</xdr:colOff>
                <xdr:row>68</xdr:row>
                <xdr:rowOff>28575</xdr:rowOff>
              </from>
              <to>
                <xdr:col>12</xdr:col>
                <xdr:colOff>809625</xdr:colOff>
                <xdr:row>85</xdr:row>
                <xdr:rowOff>9525</xdr:rowOff>
              </to>
            </anchor>
          </objectPr>
        </oleObject>
      </mc:Choice>
      <mc:Fallback>
        <oleObject progId="Equation.3" shapeId="2604101" r:id="rId3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04063" r:id="rId5" name="Spinner 31">
              <controlPr defaultSize="0" print="0" autoPict="0">
                <anchor moveWithCells="1" sizeWithCells="1">
                  <from>
                    <xdr:col>3</xdr:col>
                    <xdr:colOff>695325</xdr:colOff>
                    <xdr:row>9</xdr:row>
                    <xdr:rowOff>9525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202" r:id="rId6" name="Spinner 170">
              <controlPr defaultSize="0" print="0" autoPict="0">
                <anchor moveWithCells="1" sizeWithCells="1">
                  <from>
                    <xdr:col>3</xdr:col>
                    <xdr:colOff>695325</xdr:colOff>
                    <xdr:row>10</xdr:row>
                    <xdr:rowOff>9525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ED20-6AF7-5A4A-8744-07EF8F441747}">
  <sheetPr codeName="Feuil6">
    <pageSetUpPr fitToPage="1"/>
  </sheetPr>
  <dimension ref="C2:H58"/>
  <sheetViews>
    <sheetView showGridLines="0" workbookViewId="0">
      <selection activeCell="H5" sqref="H5"/>
    </sheetView>
  </sheetViews>
  <sheetFormatPr baseColWidth="10" defaultRowHeight="12.75" x14ac:dyDescent="0.2"/>
  <cols>
    <col min="1" max="1" width="2.140625" customWidth="1"/>
    <col min="2" max="2" width="16.28515625" customWidth="1"/>
    <col min="3" max="4" width="13.7109375" customWidth="1"/>
  </cols>
  <sheetData>
    <row r="2" spans="3:8" x14ac:dyDescent="0.2">
      <c r="C2" s="591" t="s">
        <v>183</v>
      </c>
      <c r="D2" s="591"/>
    </row>
    <row r="3" spans="3:8" x14ac:dyDescent="0.2">
      <c r="C3" s="591"/>
      <c r="D3" s="591"/>
    </row>
    <row r="5" spans="3:8" x14ac:dyDescent="0.2">
      <c r="C5" s="13" t="str">
        <f>IF(Lang="Français","Stabilité de fusée à ailerons","Stability of finned rocket")</f>
        <v>Stabilité de fusée à ailerons</v>
      </c>
    </row>
    <row r="6" spans="3:8" x14ac:dyDescent="0.2">
      <c r="C6" s="2" t="str">
        <f>IF(Lang="Français","Calculs de Stabilité basés sur les équations de Barrowman","Stability calculs are based on Barrowman equations")</f>
        <v>Calculs de Stabilité basés sur les équations de Barrowman</v>
      </c>
    </row>
    <row r="7" spans="3:8" x14ac:dyDescent="0.2">
      <c r="C7" s="13" t="str">
        <f>IF(Lang="Français","Trajectographie de fusée","Rocket Trajectography")</f>
        <v>Trajectographie de fusée</v>
      </c>
    </row>
    <row r="8" spans="3:8" x14ac:dyDescent="0.2">
      <c r="C8" s="2" t="str">
        <f>IF(Lang="Français","Trajectoire dans un plan par calcul pas à pas","Trajectory in a plane, step by step computation")</f>
        <v>Trajectoire dans un plan par calcul pas à pas</v>
      </c>
    </row>
    <row r="9" spans="3:8" x14ac:dyDescent="0.2">
      <c r="C9" s="2"/>
    </row>
    <row r="10" spans="3:8" x14ac:dyDescent="0.2">
      <c r="C10" s="14" t="str">
        <f>IF(Lang="Français","Documentation et équations :","Documentation and equations are aviable in french:")</f>
        <v>Documentation et équations :</v>
      </c>
    </row>
    <row r="11" spans="3:8" x14ac:dyDescent="0.2">
      <c r="C11" t="str">
        <f>IF(Lang="Français","voir le dossier technique Planète-Sciences ''Le Vol de la Fusée, Stabilité &amp; Trajectographie''","dossier technique Planète-Sciences ''Le Vol de la Fusée, Stabilité &amp; Trajectographie''")</f>
        <v>voir le dossier technique Planète-Sciences ''Le Vol de la Fusée, Stabilité &amp; Trajectographie''</v>
      </c>
    </row>
    <row r="12" spans="3:8" x14ac:dyDescent="0.2">
      <c r="C12" t="str">
        <f>IF(Lang="Français","Néanmoins, les équations d'intégration du mouvement utilisées sont légèrement différentes !","")</f>
        <v>Néanmoins, les équations d'intégration du mouvement utilisées sont légèrement différentes !</v>
      </c>
    </row>
    <row r="13" spans="3:8" x14ac:dyDescent="0.2">
      <c r="C13" t="str">
        <f>IF(Lang="Français","Logiciels et dossier technique téléchargeables sur :","Softwares and french documentation can be downloaded at:")</f>
        <v>Logiciels et dossier technique téléchargeables sur :</v>
      </c>
      <c r="H13" s="15" t="s">
        <v>40</v>
      </c>
    </row>
    <row r="15" spans="3:8" x14ac:dyDescent="0.2">
      <c r="C15" s="14" t="str">
        <f>IF(Lang="Français","Pour les experts :","For experts:")</f>
        <v>Pour les experts :</v>
      </c>
    </row>
    <row r="16" spans="3:8" x14ac:dyDescent="0.2">
      <c r="C16" t="str">
        <f>IF(Lang="Français","Pour les curieux et les experts, vous pouvez déprotéger les feuilles de calcul (mot de passe : anstj),","Curious people can unlock excel sheets with this password : anstj")</f>
        <v>Pour les curieux et les experts, vous pouvez déprotéger les feuilles de calcul (mot de passe : anstj),</v>
      </c>
    </row>
    <row r="17" spans="3:8" x14ac:dyDescent="0.2">
      <c r="C17" t="str">
        <f>IF(Lang="Français","et faire vos modifications personnelles (ajout de moteur...).","and do your personal modification (adding a motor...)")</f>
        <v>et faire vos modifications personnelles (ajout de moteur...).</v>
      </c>
    </row>
    <row r="18" spans="3:8" x14ac:dyDescent="0.2">
      <c r="C18" t="s">
        <v>425</v>
      </c>
    </row>
    <row r="19" spans="3:8" x14ac:dyDescent="0.2">
      <c r="C19" t="str">
        <f>IF(Lang="Français","Merci néanmoins de diffuser uniquement la version officielle protégée (fichier initial).","Please avoid distributing unlocked version.")</f>
        <v>Merci néanmoins de diffuser uniquement la version officielle protégée (fichier initial).</v>
      </c>
    </row>
    <row r="20" spans="3:8" x14ac:dyDescent="0.2">
      <c r="C20" t="str">
        <f>IF(Lang="Français","Aucune Macro. Mise en forme conditionnelle, Noms de zone.","No macro. Conditionnal formating, named zones.")</f>
        <v>Aucune Macro. Mise en forme conditionnelle, Noms de zone.</v>
      </c>
    </row>
    <row r="21" spans="3:8" x14ac:dyDescent="0.2">
      <c r="C21" s="48" t="str">
        <f>IF(Lang="Français","Pour changer les choix des menus déroulants et les restrictions des cellules jaunes, cf. Données&gt; Validations…", "To change choices menu &amp; yellow cells restrictions, go to data validation.")</f>
        <v>Pour changer les choix des menus déroulants et les restrictions des cellules jaunes, cf. Données&gt; Validations…</v>
      </c>
    </row>
    <row r="22" spans="3:8" x14ac:dyDescent="0.2">
      <c r="C22" s="48" t="str">
        <f>IF(Lang="Français","Les unités sont réglés dans le Format de la cellule.","Units are set in cell number Format")</f>
        <v>Les unités sont réglés dans le Format de la cellule.</v>
      </c>
      <c r="H22" s="15" t="s">
        <v>38</v>
      </c>
    </row>
    <row r="23" spans="3:8" x14ac:dyDescent="0.2">
      <c r="C23" t="str">
        <f>IF(Lang="Français","Vous pouvez proposer vos améliorations en envoyant votre fichier à : ","Send all remarks and improvements proposals to:")</f>
        <v xml:space="preserve">Vous pouvez proposer vos améliorations en envoyant votre fichier à : </v>
      </c>
      <c r="H23" s="15"/>
    </row>
    <row r="25" spans="3:8" x14ac:dyDescent="0.2">
      <c r="C25" s="14" t="str">
        <f>IF(Lang="Français","Licence :","License:")</f>
        <v>Licence :</v>
      </c>
      <c r="D25" s="16"/>
    </row>
    <row r="26" spans="3:8" x14ac:dyDescent="0.2">
      <c r="C26" t="str">
        <f>IF(Lang="Français","Ce logiciel est placé sous la licence Creative Commons BY-SA","This software is placed under Creative Commons licence BY-SA")</f>
        <v>Ce logiciel est placé sous la licence Creative Commons BY-SA</v>
      </c>
      <c r="H26" s="68" t="s">
        <v>125</v>
      </c>
    </row>
    <row r="28" spans="3:8" x14ac:dyDescent="0.2">
      <c r="C28" s="14" t="str">
        <f>IF(Lang="Français","Compatibilité :","Compatibility:")</f>
        <v>Compatibilité :</v>
      </c>
    </row>
    <row r="29" spans="3:8" x14ac:dyDescent="0.2">
      <c r="C29" t="s">
        <v>155</v>
      </c>
    </row>
    <row r="30" spans="3:8" x14ac:dyDescent="0.2">
      <c r="C30" t="s">
        <v>306</v>
      </c>
    </row>
    <row r="31" spans="3:8" x14ac:dyDescent="0.2">
      <c r="C31" s="49" t="s">
        <v>113</v>
      </c>
    </row>
    <row r="33" spans="3:6" x14ac:dyDescent="0.2">
      <c r="C33" s="14" t="str">
        <f>IF(Lang="Français","Historique :","History:")</f>
        <v>Historique :</v>
      </c>
    </row>
    <row r="34" spans="3:6" x14ac:dyDescent="0.2">
      <c r="C34" t="s">
        <v>105</v>
      </c>
      <c r="D34" t="s">
        <v>43</v>
      </c>
      <c r="E34" s="47" t="s">
        <v>104</v>
      </c>
      <c r="F34" t="str">
        <f>IF(Lang="Français","Essais personnels, héritage d'une feuille de calcul de Vincent Girard, ESO","Personnel tests")</f>
        <v>Essais personnels, héritage d'une feuille de calcul de Vincent Girard, ESO</v>
      </c>
    </row>
    <row r="35" spans="3:6" x14ac:dyDescent="0.2">
      <c r="C35" t="s">
        <v>106</v>
      </c>
      <c r="D35" t="s">
        <v>43</v>
      </c>
      <c r="E35" s="16">
        <v>39483</v>
      </c>
      <c r="F35" t="str">
        <f>IF(Lang="Français","Equations de Barrowman généralisées (D_ref), masquage inter-ailerons, bilingue fr-en","Generalized Barrowman equations (D_ref), fin-fin interaction, english translation")</f>
        <v>Equations de Barrowman généralisées (D_ref), masquage inter-ailerons, bilingue fr-en</v>
      </c>
    </row>
    <row r="36" spans="3:6" x14ac:dyDescent="0.2">
      <c r="C36" t="s">
        <v>107</v>
      </c>
      <c r="D36" t="s">
        <v>43</v>
      </c>
      <c r="E36" s="16">
        <v>39507</v>
      </c>
      <c r="F36" t="str">
        <f>IF(Lang="Français","Schéma de la fusée, estimation analytique de la trajecto, diagramme des critères","Rocket schematic, analytical trajecto, criterions diagram")</f>
        <v>Schéma de la fusée, estimation analytique de la trajecto, diagramme des critères</v>
      </c>
    </row>
    <row r="37" spans="3:6" x14ac:dyDescent="0.2">
      <c r="C37" t="s">
        <v>108</v>
      </c>
      <c r="D37" t="s">
        <v>43</v>
      </c>
      <c r="E37" s="16">
        <v>39694</v>
      </c>
      <c r="F37" t="str">
        <f>IF(Lang="Français","Mise en forme","Formatting")</f>
        <v>Mise en forme</v>
      </c>
    </row>
    <row r="38" spans="3:6" x14ac:dyDescent="0.2">
      <c r="C38" t="s">
        <v>109</v>
      </c>
      <c r="D38" t="s">
        <v>43</v>
      </c>
      <c r="E38" s="16">
        <v>39643</v>
      </c>
      <c r="F38" t="str">
        <f>IF(Lang="Français","Essais personnels, héritage d'une feuille de calcul de Félicien Roux, ESO","Personal tests")</f>
        <v>Essais personnels, héritage d'une feuille de calcul de Félicien Roux, ESO</v>
      </c>
    </row>
    <row r="39" spans="3:6" x14ac:dyDescent="0.2">
      <c r="C39" t="s">
        <v>110</v>
      </c>
      <c r="D39" t="s">
        <v>43</v>
      </c>
      <c r="E39" s="16">
        <v>39755</v>
      </c>
      <c r="F39" t="str">
        <f>IF(Lang="Français","Réécriture équations, traduction, érgonomie","Equations, traduction, ergonomy")</f>
        <v>Réécriture équations, traduction, érgonomie</v>
      </c>
    </row>
    <row r="40" spans="3:6" x14ac:dyDescent="0.2">
      <c r="C40" t="s">
        <v>111</v>
      </c>
      <c r="D40" t="s">
        <v>43</v>
      </c>
      <c r="E40" s="16">
        <v>39756</v>
      </c>
      <c r="F40" t="str">
        <f>IF(Lang="Français","Conditions Initiales pour vol 2e étage, 1ère publication","Initial Conditions, 1st publication")</f>
        <v>Conditions Initiales pour vol 2e étage, 1ère publication</v>
      </c>
    </row>
    <row r="41" spans="3:6" x14ac:dyDescent="0.2">
      <c r="C41" t="s">
        <v>112</v>
      </c>
      <c r="D41" t="s">
        <v>43</v>
      </c>
      <c r="E41" s="16">
        <v>40658</v>
      </c>
      <c r="F41" t="s">
        <v>55</v>
      </c>
    </row>
    <row r="42" spans="3:6" x14ac:dyDescent="0.2">
      <c r="C42" t="s">
        <v>184</v>
      </c>
      <c r="D42" t="s">
        <v>43</v>
      </c>
      <c r="E42" s="16">
        <v>40868</v>
      </c>
      <c r="F42" t="str">
        <f>IF(Lang="Français","Fusion Stabilito+Trajecto, mise en forme, Ctrl, RC, H2O, Abaco","Merge Stabilito+Trajecto, formatting, Ctrl, RC, H2O, Abaco")</f>
        <v>Fusion Stabilito+Trajecto, mise en forme, Ctrl, RC, H2O, Abaco</v>
      </c>
    </row>
    <row r="43" spans="3:6" x14ac:dyDescent="0.2">
      <c r="C43" t="s">
        <v>333</v>
      </c>
      <c r="D43" t="s">
        <v>43</v>
      </c>
      <c r="E43" s="16">
        <v>41194</v>
      </c>
      <c r="F43" t="s">
        <v>337</v>
      </c>
    </row>
    <row r="44" spans="3:6" x14ac:dyDescent="0.2">
      <c r="C44" t="s">
        <v>334</v>
      </c>
      <c r="D44" t="s">
        <v>43</v>
      </c>
      <c r="E44" s="16">
        <v>41329</v>
      </c>
      <c r="F44" t="s">
        <v>338</v>
      </c>
    </row>
    <row r="45" spans="3:6" x14ac:dyDescent="0.2">
      <c r="C45" t="s">
        <v>422</v>
      </c>
      <c r="D45" t="s">
        <v>401</v>
      </c>
      <c r="E45" s="16">
        <v>41947</v>
      </c>
      <c r="F45" t="s">
        <v>421</v>
      </c>
    </row>
    <row r="46" spans="3:6" x14ac:dyDescent="0.2">
      <c r="C46" t="s">
        <v>426</v>
      </c>
      <c r="D46" t="s">
        <v>401</v>
      </c>
      <c r="E46" s="16">
        <v>41965</v>
      </c>
      <c r="F46" t="s">
        <v>424</v>
      </c>
    </row>
    <row r="47" spans="3:6" x14ac:dyDescent="0.2">
      <c r="C47" t="s">
        <v>550</v>
      </c>
      <c r="D47" t="s">
        <v>401</v>
      </c>
      <c r="E47" s="16">
        <v>43098</v>
      </c>
      <c r="F47" t="s">
        <v>551</v>
      </c>
    </row>
    <row r="48" spans="3:6" x14ac:dyDescent="0.2">
      <c r="E48" s="16"/>
    </row>
    <row r="50" spans="3:6" x14ac:dyDescent="0.2">
      <c r="C50" s="14" t="str">
        <f>IF(Lang="Français","Paramètres de référence :","Reference parameters:")</f>
        <v>Paramètres de référence :</v>
      </c>
    </row>
    <row r="51" spans="3:6" x14ac:dyDescent="0.2">
      <c r="C51" s="62" t="str">
        <f>IF(Lang="Français","Gravité g :","Gravity g")</f>
        <v>Gravité g :</v>
      </c>
      <c r="E51" s="62">
        <v>9.81</v>
      </c>
      <c r="F51" s="62" t="s">
        <v>7</v>
      </c>
    </row>
    <row r="52" spans="3:6" x14ac:dyDescent="0.2">
      <c r="C52" s="62" t="str">
        <f>IF(Lang="Français","Masse volumique de l'air ρ :","Air density ρ")</f>
        <v>Masse volumique de l'air ρ :</v>
      </c>
      <c r="E52" s="63">
        <v>1.2250000000000001</v>
      </c>
      <c r="F52" s="62" t="s">
        <v>8</v>
      </c>
    </row>
    <row r="53" spans="3:6" x14ac:dyDescent="0.2">
      <c r="C53" s="48"/>
    </row>
    <row r="54" spans="3:6" x14ac:dyDescent="0.2">
      <c r="C54" s="48"/>
    </row>
    <row r="55" spans="3:6" x14ac:dyDescent="0.2">
      <c r="C55" s="48"/>
    </row>
    <row r="56" spans="3:6" x14ac:dyDescent="0.2">
      <c r="C56" s="48"/>
    </row>
    <row r="57" spans="3:6" x14ac:dyDescent="0.2">
      <c r="C57" s="48"/>
    </row>
    <row r="58" spans="3:6" x14ac:dyDescent="0.2">
      <c r="C58" s="48"/>
    </row>
  </sheetData>
  <sheetProtection password="C6AC" sheet="1"/>
  <mergeCells count="1">
    <mergeCell ref="C2:D3"/>
  </mergeCells>
  <phoneticPr fontId="8" type="noConversion"/>
  <hyperlinks>
    <hyperlink ref="H13" r:id="rId1" xr:uid="{C21D9BE1-9F32-2C4F-A087-D3FD3C5F4521}"/>
    <hyperlink ref="H22" r:id="rId2" xr:uid="{033D3A05-292D-7049-9601-C28B3800BA92}"/>
    <hyperlink ref="H26" r:id="rId3" xr:uid="{DA2C0B5F-6759-474D-A1E0-B5D3D0575ABF}"/>
  </hyperlinks>
  <pageMargins left="0.39370078740157483" right="0.39370078740157483" top="0.39370078740157483" bottom="0.39370078740157483" header="0" footer="0"/>
  <pageSetup scale="73" firstPageNumber="0" orientation="portrait" horizontalDpi="300" verticalDpi="300"/>
  <headerFooter alignWithMargins="0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C7DD-F435-3347-A629-22FA6CA8D978}">
  <sheetPr codeName="Feuil7">
    <pageSetUpPr fitToPage="1"/>
  </sheetPr>
  <dimension ref="B1:U134"/>
  <sheetViews>
    <sheetView showGridLines="0" topLeftCell="D1" zoomScaleNormal="100" workbookViewId="0">
      <selection activeCell="H4" sqref="H4"/>
    </sheetView>
  </sheetViews>
  <sheetFormatPr baseColWidth="10" defaultColWidth="11.7109375" defaultRowHeight="12.75" x14ac:dyDescent="0.2"/>
  <cols>
    <col min="1" max="2" width="2.140625" customWidth="1"/>
    <col min="3" max="3" width="12.7109375" customWidth="1"/>
    <col min="4" max="4" width="21" customWidth="1"/>
    <col min="7" max="7" width="26.7109375" customWidth="1"/>
    <col min="8" max="9" width="6.7109375" customWidth="1"/>
    <col min="10" max="10" width="10" customWidth="1"/>
    <col min="11" max="11" width="13" customWidth="1"/>
    <col min="12" max="12" width="21.28515625" customWidth="1"/>
    <col min="14" max="14" width="2.140625" customWidth="1"/>
    <col min="18" max="19" width="16.28515625" customWidth="1"/>
  </cols>
  <sheetData>
    <row r="1" spans="2:21" ht="13.5" thickBot="1" x14ac:dyDescent="0.25">
      <c r="O1" s="6"/>
      <c r="P1" s="48"/>
      <c r="Q1" s="48"/>
      <c r="R1" s="48"/>
      <c r="S1" s="48"/>
      <c r="T1" s="48"/>
      <c r="U1" s="48"/>
    </row>
    <row r="2" spans="2:21" ht="13.5" thickBot="1" x14ac:dyDescent="0.25"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3"/>
      <c r="O2" s="6"/>
      <c r="P2" s="48"/>
      <c r="Q2" s="48"/>
      <c r="R2" s="48"/>
      <c r="S2" s="48"/>
      <c r="T2" s="48"/>
      <c r="U2" s="48"/>
    </row>
    <row r="3" spans="2:21" ht="15.75" customHeight="1" thickBot="1" x14ac:dyDescent="0.25">
      <c r="B3" s="74"/>
      <c r="D3" s="2" t="s">
        <v>435</v>
      </c>
      <c r="N3" s="75"/>
      <c r="O3" s="6"/>
      <c r="P3" s="273" t="s">
        <v>346</v>
      </c>
      <c r="Q3" s="441">
        <f>Long_ogive</f>
        <v>275</v>
      </c>
      <c r="R3" s="48"/>
      <c r="S3" s="48"/>
      <c r="T3" s="48"/>
      <c r="U3" s="48"/>
    </row>
    <row r="4" spans="2:21" ht="15.75" customHeight="1" x14ac:dyDescent="0.2">
      <c r="B4" s="74"/>
      <c r="D4" s="2"/>
      <c r="N4" s="75"/>
      <c r="O4" s="6"/>
      <c r="P4" s="273"/>
      <c r="Q4" s="436"/>
      <c r="R4" s="48"/>
      <c r="S4" s="48"/>
      <c r="T4" s="48"/>
      <c r="U4" s="48"/>
    </row>
    <row r="5" spans="2:21" ht="15.75" customHeight="1" x14ac:dyDescent="0.2">
      <c r="B5" s="74"/>
      <c r="D5" t="s">
        <v>468</v>
      </c>
      <c r="E5" t="str">
        <f>Propu</f>
        <v>Barasinga (Pro54-5G)</v>
      </c>
      <c r="G5" t="s">
        <v>465</v>
      </c>
      <c r="H5">
        <f>MasseSans</f>
        <v>6.83</v>
      </c>
      <c r="N5" s="75"/>
      <c r="O5" s="6"/>
      <c r="P5" s="273"/>
      <c r="Q5" s="436"/>
      <c r="R5" s="48"/>
      <c r="S5" s="48"/>
      <c r="T5" s="48"/>
      <c r="U5" s="48"/>
    </row>
    <row r="6" spans="2:21" x14ac:dyDescent="0.2">
      <c r="B6" s="74"/>
      <c r="D6" t="s">
        <v>461</v>
      </c>
      <c r="E6" s="2" t="str">
        <f>Trajecto!H32</f>
        <v>Brun/Orange…</v>
      </c>
      <c r="G6" t="s">
        <v>466</v>
      </c>
      <c r="H6">
        <f>D_ref</f>
        <v>104</v>
      </c>
      <c r="N6" s="75"/>
      <c r="O6" s="6"/>
      <c r="P6" s="273"/>
      <c r="Q6" s="436"/>
      <c r="R6" s="48"/>
      <c r="S6" s="48"/>
      <c r="T6" s="48"/>
      <c r="U6" s="48"/>
    </row>
    <row r="7" spans="2:21" x14ac:dyDescent="0.2">
      <c r="B7" s="74"/>
      <c r="D7" t="s">
        <v>463</v>
      </c>
      <c r="E7" s="2" t="str">
        <f>Trajecto!H33</f>
        <v>Rouge…</v>
      </c>
      <c r="G7" t="s">
        <v>5</v>
      </c>
      <c r="H7">
        <f>Cx</f>
        <v>0.5</v>
      </c>
      <c r="N7" s="75"/>
      <c r="O7" s="6"/>
      <c r="P7" s="273"/>
      <c r="Q7" s="436"/>
      <c r="R7" s="48"/>
      <c r="S7" s="48"/>
      <c r="T7" s="48"/>
      <c r="U7" s="48"/>
    </row>
    <row r="8" spans="2:21" x14ac:dyDescent="0.2">
      <c r="B8" s="74"/>
      <c r="D8" t="s">
        <v>464</v>
      </c>
      <c r="E8" s="2">
        <f>S_para</f>
        <v>1.5070049999999999</v>
      </c>
      <c r="G8" t="s">
        <v>467</v>
      </c>
      <c r="H8">
        <f>L_rampe</f>
        <v>4</v>
      </c>
      <c r="N8" s="75"/>
      <c r="O8" s="6"/>
      <c r="P8" s="273"/>
      <c r="Q8" s="436"/>
      <c r="R8" s="48"/>
      <c r="S8" s="48"/>
      <c r="T8" s="48"/>
      <c r="U8" s="48"/>
    </row>
    <row r="9" spans="2:21" x14ac:dyDescent="0.2">
      <c r="B9" s="74"/>
      <c r="D9" t="s">
        <v>462</v>
      </c>
      <c r="E9" s="2"/>
      <c r="G9" t="s">
        <v>149</v>
      </c>
      <c r="H9" s="534" t="str">
        <f>Forme_ogive</f>
        <v>Conique (droite)</v>
      </c>
      <c r="N9" s="75"/>
      <c r="O9" s="6"/>
      <c r="P9" s="273"/>
      <c r="Q9" s="436"/>
      <c r="R9" s="48"/>
      <c r="S9" s="48"/>
      <c r="T9" s="48"/>
      <c r="U9" s="48"/>
    </row>
    <row r="10" spans="2:21" x14ac:dyDescent="0.2">
      <c r="B10" s="74"/>
      <c r="F10" s="3"/>
      <c r="G10" s="6"/>
      <c r="N10" s="75"/>
      <c r="O10" s="523"/>
      <c r="P10" s="48"/>
      <c r="Q10" s="436"/>
      <c r="R10" s="48"/>
      <c r="S10" s="48"/>
      <c r="T10" s="48"/>
      <c r="U10" s="48"/>
    </row>
    <row r="11" spans="2:21" ht="13.5" thickBot="1" x14ac:dyDescent="0.25">
      <c r="B11" s="74"/>
      <c r="C11" s="12"/>
      <c r="D11" s="275" t="s">
        <v>460</v>
      </c>
      <c r="E11" s="243">
        <f>MasseSans</f>
        <v>6.83</v>
      </c>
      <c r="F11" s="246" t="s">
        <v>126</v>
      </c>
      <c r="G11" s="246" t="s">
        <v>128</v>
      </c>
      <c r="H11" s="666">
        <f ca="1">Vsortie_de_rampe</f>
        <v>26.218681291030229</v>
      </c>
      <c r="I11" s="667"/>
      <c r="J11" s="76"/>
      <c r="N11" s="75"/>
      <c r="P11" s="48"/>
      <c r="Q11" s="436"/>
      <c r="R11" s="48"/>
      <c r="S11" s="48"/>
      <c r="T11" s="48"/>
      <c r="U11" s="440">
        <f>IF(RIGHT(Nb_diam,1)=",", "", X_j)</f>
        <v>1035</v>
      </c>
    </row>
    <row r="12" spans="2:21" ht="13.5" thickBot="1" x14ac:dyDescent="0.25">
      <c r="B12" s="74"/>
      <c r="C12" s="12"/>
      <c r="D12" s="276"/>
      <c r="E12" s="244"/>
      <c r="F12" s="6" t="s">
        <v>126</v>
      </c>
      <c r="G12" s="6" t="s">
        <v>129</v>
      </c>
      <c r="H12" s="668">
        <f>Finesse</f>
        <v>19.153846153846153</v>
      </c>
      <c r="I12" s="669"/>
      <c r="J12" s="76"/>
      <c r="N12" s="75"/>
      <c r="O12" s="6"/>
      <c r="P12" s="273" t="s">
        <v>347</v>
      </c>
      <c r="Q12" s="441">
        <f>D_og</f>
        <v>84</v>
      </c>
      <c r="R12" s="48"/>
      <c r="S12" s="48"/>
      <c r="T12" s="48"/>
      <c r="U12" s="436"/>
    </row>
    <row r="13" spans="2:21" x14ac:dyDescent="0.2">
      <c r="B13" s="74"/>
      <c r="C13" s="12"/>
      <c r="D13" s="276" t="s">
        <v>5</v>
      </c>
      <c r="E13" s="244">
        <f>Cx</f>
        <v>0.5</v>
      </c>
      <c r="F13" s="6" t="s">
        <v>126</v>
      </c>
      <c r="G13" s="6" t="s">
        <v>439</v>
      </c>
      <c r="H13" s="668">
        <f>Cn</f>
        <v>19.779152282887132</v>
      </c>
      <c r="I13" s="669"/>
      <c r="J13" s="76"/>
      <c r="N13" s="75"/>
      <c r="O13" s="6"/>
      <c r="P13" s="48"/>
      <c r="Q13" s="436"/>
      <c r="R13" s="48"/>
      <c r="S13" s="48"/>
      <c r="T13" s="48"/>
      <c r="U13" s="440">
        <f>IF(RIGHT(Nb_diam,1)=",", "", X_r)</f>
        <v>1942</v>
      </c>
    </row>
    <row r="14" spans="2:21" x14ac:dyDescent="0.2">
      <c r="B14" s="74"/>
      <c r="C14" s="12"/>
      <c r="D14" s="276" t="s">
        <v>146</v>
      </c>
      <c r="E14" s="244">
        <f>L_rampe</f>
        <v>4</v>
      </c>
      <c r="F14" s="6" t="s">
        <v>126</v>
      </c>
      <c r="G14" s="6" t="s">
        <v>130</v>
      </c>
      <c r="H14" s="247">
        <f ca="1">MS_min</f>
        <v>1.6722271097381343</v>
      </c>
      <c r="I14" s="254">
        <f ca="1">MS_max</f>
        <v>3.4412190495062154</v>
      </c>
      <c r="J14" s="76"/>
      <c r="K14" s="76"/>
      <c r="N14" s="75"/>
      <c r="P14" s="48"/>
      <c r="Q14" s="436"/>
      <c r="R14" s="48"/>
      <c r="S14" s="48"/>
      <c r="T14" s="48"/>
      <c r="U14" s="436"/>
    </row>
    <row r="15" spans="2:21" x14ac:dyDescent="0.2">
      <c r="B15" s="74"/>
      <c r="C15" s="12"/>
      <c r="D15" s="276" t="s">
        <v>147</v>
      </c>
      <c r="E15" s="244">
        <f>ep_ail</f>
        <v>4</v>
      </c>
      <c r="F15" s="6" t="s">
        <v>126</v>
      </c>
      <c r="G15" s="6" t="s">
        <v>127</v>
      </c>
      <c r="H15" s="247">
        <f ca="1">MS_Cn_min</f>
        <v>33.075234655082767</v>
      </c>
      <c r="I15" s="254">
        <f ca="1">MS_Cn_max</f>
        <v>83.208280706100538</v>
      </c>
      <c r="J15" s="76"/>
      <c r="K15" s="76"/>
      <c r="N15" s="75"/>
      <c r="P15" s="48"/>
      <c r="Q15" s="436"/>
      <c r="R15" s="48"/>
      <c r="S15" s="48"/>
      <c r="T15" s="48"/>
    </row>
    <row r="16" spans="2:21" x14ac:dyDescent="0.2">
      <c r="B16" s="74"/>
      <c r="C16" s="12"/>
      <c r="D16" s="276" t="s">
        <v>148</v>
      </c>
      <c r="E16" s="244">
        <f>Q_ail</f>
        <v>4</v>
      </c>
      <c r="F16" s="6" t="s">
        <v>131</v>
      </c>
      <c r="G16" s="6" t="s">
        <v>132</v>
      </c>
      <c r="H16" s="247">
        <f ca="1">V_para</f>
        <v>8.3000101582346613</v>
      </c>
      <c r="I16" s="253">
        <f>V_satellite</f>
        <v>12.655562623057198</v>
      </c>
      <c r="J16" s="76"/>
      <c r="N16" s="75"/>
      <c r="P16" s="48"/>
      <c r="Q16" s="436"/>
      <c r="R16" s="48"/>
      <c r="S16" s="48"/>
      <c r="T16" s="48"/>
      <c r="U16" s="440">
        <f>IF(RIGHT(Nb_diam,1)=",", "", l_j)</f>
        <v>75</v>
      </c>
    </row>
    <row r="17" spans="2:21" x14ac:dyDescent="0.2">
      <c r="B17" s="74"/>
      <c r="C17" s="12"/>
      <c r="D17" s="276" t="s">
        <v>149</v>
      </c>
      <c r="E17" s="272" t="str">
        <f>Forme_ogive</f>
        <v>Conique (droite)</v>
      </c>
      <c r="F17" s="6" t="s">
        <v>133</v>
      </c>
      <c r="G17" s="6" t="s">
        <v>134</v>
      </c>
      <c r="H17" s="668">
        <f>T_para</f>
        <v>17</v>
      </c>
      <c r="I17" s="669"/>
      <c r="J17" s="258"/>
      <c r="N17" s="75"/>
      <c r="P17" s="434" t="s">
        <v>348</v>
      </c>
      <c r="Q17" s="440">
        <f>IF(RIGHT(Nb_diam,1)=",", "", D2j)</f>
        <v>104</v>
      </c>
      <c r="R17" s="48"/>
      <c r="S17" s="48"/>
      <c r="T17" s="48"/>
      <c r="U17" s="436"/>
    </row>
    <row r="18" spans="2:21" x14ac:dyDescent="0.2">
      <c r="B18" s="74"/>
      <c r="C18" s="12"/>
      <c r="D18" s="276" t="s">
        <v>151</v>
      </c>
      <c r="E18" s="244">
        <f ca="1">XpropuRef-Long_propu</f>
        <v>1504</v>
      </c>
      <c r="F18" s="12" t="s">
        <v>133</v>
      </c>
      <c r="G18" s="12" t="s">
        <v>433</v>
      </c>
      <c r="H18" s="594">
        <f ca="1">T_para-Combustion-Depotage</f>
        <v>17</v>
      </c>
      <c r="I18" s="670"/>
      <c r="N18" s="75"/>
      <c r="P18" s="48"/>
      <c r="Q18" s="436"/>
      <c r="R18" s="48"/>
      <c r="S18" s="48"/>
    </row>
    <row r="19" spans="2:21" x14ac:dyDescent="0.2">
      <c r="B19" s="74"/>
      <c r="C19" s="533"/>
      <c r="D19" s="269"/>
      <c r="E19" s="271"/>
      <c r="F19" s="521" t="s">
        <v>135</v>
      </c>
      <c r="G19" s="274" t="s">
        <v>432</v>
      </c>
      <c r="H19" s="671">
        <f ca="1">Portee_balistique</f>
        <v>515.22511340180665</v>
      </c>
      <c r="I19" s="672"/>
      <c r="N19" s="75"/>
      <c r="P19" s="48"/>
      <c r="Q19" s="436"/>
      <c r="R19" s="48"/>
      <c r="S19" s="48"/>
      <c r="T19" s="48"/>
    </row>
    <row r="20" spans="2:21" x14ac:dyDescent="0.2">
      <c r="B20" s="74"/>
      <c r="C20" s="12"/>
      <c r="D20" s="6"/>
      <c r="E20" s="6"/>
      <c r="H20" s="520"/>
      <c r="I20" s="520"/>
      <c r="N20" s="75"/>
      <c r="P20" s="48"/>
      <c r="Q20" s="436"/>
      <c r="R20" s="48"/>
      <c r="S20" s="48"/>
      <c r="T20" s="48"/>
      <c r="U20" s="440">
        <f>IF(RIGHT(Nb_diam,1)=",", "", l_r)</f>
        <v>50</v>
      </c>
    </row>
    <row r="21" spans="2:21" x14ac:dyDescent="0.2">
      <c r="B21" s="74"/>
      <c r="C21" s="12"/>
      <c r="D21" s="6"/>
      <c r="E21" s="263"/>
      <c r="F21" s="3"/>
      <c r="G21" s="6"/>
      <c r="H21" s="520"/>
      <c r="I21" s="520"/>
      <c r="N21" s="75"/>
      <c r="O21" s="273"/>
      <c r="P21" s="436"/>
      <c r="Q21" s="48"/>
      <c r="R21" s="48"/>
      <c r="S21" s="48"/>
      <c r="T21" s="226"/>
      <c r="U21" s="436"/>
    </row>
    <row r="22" spans="2:21" x14ac:dyDescent="0.2">
      <c r="B22" s="74"/>
      <c r="C22" s="528" t="s">
        <v>459</v>
      </c>
      <c r="D22" s="528" t="s">
        <v>443</v>
      </c>
      <c r="E22" s="529"/>
      <c r="F22" s="530" t="s">
        <v>448</v>
      </c>
      <c r="G22" s="528" t="s">
        <v>453</v>
      </c>
      <c r="I22" s="531"/>
      <c r="J22" s="532" t="s">
        <v>159</v>
      </c>
      <c r="K22" s="528" t="s">
        <v>160</v>
      </c>
      <c r="N22" s="75"/>
      <c r="O22" s="273"/>
      <c r="P22" s="436"/>
      <c r="Q22" s="48"/>
      <c r="R22" s="48"/>
      <c r="S22" s="48"/>
      <c r="T22" s="226"/>
      <c r="U22" s="436"/>
    </row>
    <row r="23" spans="2:21" x14ac:dyDescent="0.2">
      <c r="B23" s="74"/>
      <c r="C23" s="528" t="s">
        <v>458</v>
      </c>
      <c r="D23" s="529">
        <f>XcgSans</f>
        <v>1000</v>
      </c>
      <c r="E23" s="529" t="s">
        <v>39</v>
      </c>
      <c r="F23" s="530">
        <f>m_ail</f>
        <v>190</v>
      </c>
      <c r="G23" s="528">
        <f>m_can</f>
        <v>170</v>
      </c>
      <c r="I23" s="531" t="s">
        <v>454</v>
      </c>
      <c r="J23" s="530">
        <f>l_j</f>
        <v>75</v>
      </c>
      <c r="K23" s="528">
        <f>l_r</f>
        <v>50</v>
      </c>
      <c r="N23" s="75"/>
      <c r="O23" s="273"/>
      <c r="P23" s="436"/>
      <c r="Q23" s="48"/>
      <c r="R23" s="48"/>
      <c r="S23" s="48"/>
      <c r="T23" s="226"/>
      <c r="U23" s="436"/>
    </row>
    <row r="24" spans="2:21" x14ac:dyDescent="0.2">
      <c r="B24" s="74"/>
      <c r="C24" s="528" t="s">
        <v>446</v>
      </c>
      <c r="D24" s="528">
        <f>Long_tot</f>
        <v>1992</v>
      </c>
      <c r="E24" s="529" t="s">
        <v>449</v>
      </c>
      <c r="F24" s="530">
        <f>n_ail</f>
        <v>120</v>
      </c>
      <c r="G24" s="528">
        <f>n_can</f>
        <v>80</v>
      </c>
      <c r="I24" s="531" t="s">
        <v>455</v>
      </c>
      <c r="J24" s="530">
        <f>D1j</f>
        <v>84</v>
      </c>
      <c r="K24" s="528">
        <f>D1r</f>
        <v>104</v>
      </c>
      <c r="N24" s="75"/>
      <c r="O24" s="273"/>
      <c r="P24" s="436"/>
      <c r="Q24" s="48"/>
      <c r="R24" s="48"/>
      <c r="S24" s="48"/>
      <c r="T24" s="226"/>
      <c r="U24" s="436"/>
    </row>
    <row r="25" spans="2:21" x14ac:dyDescent="0.2">
      <c r="B25" s="74"/>
      <c r="C25" s="528" t="s">
        <v>447</v>
      </c>
      <c r="D25" s="528">
        <f>XpropuRef</f>
        <v>1992</v>
      </c>
      <c r="E25" s="529" t="s">
        <v>450</v>
      </c>
      <c r="F25" s="530">
        <f>p_ail</f>
        <v>130</v>
      </c>
      <c r="G25" s="528">
        <f>p_can</f>
        <v>140</v>
      </c>
      <c r="I25" s="531" t="s">
        <v>456</v>
      </c>
      <c r="J25" s="530">
        <f>D2j</f>
        <v>104</v>
      </c>
      <c r="K25" s="528">
        <f>D2r</f>
        <v>104</v>
      </c>
      <c r="N25" s="75"/>
      <c r="O25" s="273"/>
      <c r="P25" s="436"/>
      <c r="Q25" s="48"/>
      <c r="R25" s="48"/>
      <c r="S25" s="48"/>
      <c r="T25" s="226"/>
      <c r="U25" s="436"/>
    </row>
    <row r="26" spans="2:21" x14ac:dyDescent="0.2">
      <c r="B26" s="74"/>
      <c r="C26" s="528" t="s">
        <v>444</v>
      </c>
      <c r="D26" s="528">
        <f>D_ref</f>
        <v>104</v>
      </c>
      <c r="E26" s="529" t="s">
        <v>451</v>
      </c>
      <c r="F26" s="530">
        <f>E_ail</f>
        <v>130</v>
      </c>
      <c r="G26" s="528">
        <f>E_can</f>
        <v>110</v>
      </c>
      <c r="I26" s="531" t="s">
        <v>457</v>
      </c>
      <c r="J26" s="530">
        <f>X_j</f>
        <v>1035</v>
      </c>
      <c r="K26" s="528">
        <f>X_r</f>
        <v>1942</v>
      </c>
      <c r="N26" s="75"/>
      <c r="O26" s="273"/>
      <c r="P26" s="436"/>
      <c r="Q26" s="48"/>
      <c r="R26" s="48"/>
      <c r="S26" s="48"/>
      <c r="T26" s="226"/>
      <c r="U26" s="436"/>
    </row>
    <row r="27" spans="2:21" x14ac:dyDescent="0.2">
      <c r="B27" s="74"/>
      <c r="C27" s="528" t="s">
        <v>445</v>
      </c>
      <c r="D27" s="528">
        <f>Long_ogive</f>
        <v>275</v>
      </c>
      <c r="E27" s="529" t="s">
        <v>452</v>
      </c>
      <c r="F27" s="530">
        <f>X_ail</f>
        <v>1972</v>
      </c>
      <c r="G27" s="528">
        <f>X_can</f>
        <v>1035</v>
      </c>
      <c r="H27" s="520"/>
      <c r="I27" s="3"/>
      <c r="J27" s="2"/>
      <c r="N27" s="75"/>
      <c r="O27" s="273"/>
      <c r="P27" s="436"/>
      <c r="Q27" s="48"/>
      <c r="R27" s="48"/>
      <c r="S27" s="48"/>
      <c r="T27" s="226"/>
      <c r="U27" s="436"/>
    </row>
    <row r="28" spans="2:21" ht="13.5" thickBot="1" x14ac:dyDescent="0.25">
      <c r="B28" s="74"/>
      <c r="E28" s="95"/>
      <c r="N28" s="75"/>
      <c r="O28" s="2"/>
      <c r="P28" s="6"/>
      <c r="Q28" s="2"/>
      <c r="R28" s="48"/>
      <c r="S28" s="48"/>
      <c r="T28" s="48"/>
      <c r="U28" s="436"/>
    </row>
    <row r="29" spans="2:21" ht="13.5" thickBot="1" x14ac:dyDescent="0.25">
      <c r="B29" s="74"/>
      <c r="C29" s="659" t="s">
        <v>144</v>
      </c>
      <c r="D29" s="659" t="s">
        <v>136</v>
      </c>
      <c r="E29" s="659" t="s">
        <v>137</v>
      </c>
      <c r="F29" s="659"/>
      <c r="G29" s="659"/>
      <c r="H29" s="660" t="s">
        <v>138</v>
      </c>
      <c r="I29" s="660"/>
      <c r="J29" s="660"/>
      <c r="K29" s="660"/>
      <c r="L29" s="659" t="s">
        <v>139</v>
      </c>
      <c r="M29" s="659" t="s">
        <v>140</v>
      </c>
      <c r="N29" s="75"/>
      <c r="O29" s="273" t="s">
        <v>436</v>
      </c>
      <c r="P29" s="441">
        <f>n_ail</f>
        <v>120</v>
      </c>
      <c r="Q29" s="2"/>
      <c r="R29" s="48"/>
      <c r="S29" s="48"/>
      <c r="T29" s="48"/>
      <c r="U29" s="12" t="s">
        <v>440</v>
      </c>
    </row>
    <row r="30" spans="2:21" ht="13.5" thickBot="1" x14ac:dyDescent="0.25">
      <c r="B30" s="74"/>
      <c r="C30" s="659"/>
      <c r="D30" s="659"/>
      <c r="E30" s="659"/>
      <c r="F30" s="659"/>
      <c r="G30" s="659"/>
      <c r="H30" s="660" t="s">
        <v>141</v>
      </c>
      <c r="I30" s="660"/>
      <c r="J30" s="69" t="s">
        <v>142</v>
      </c>
      <c r="K30" s="70" t="s">
        <v>143</v>
      </c>
      <c r="L30" s="659"/>
      <c r="M30" s="659"/>
      <c r="N30" s="75"/>
      <c r="P30" s="12"/>
      <c r="R30" s="48"/>
      <c r="S30" s="48"/>
      <c r="T30" s="226" t="s">
        <v>438</v>
      </c>
      <c r="U30" s="525">
        <f>[0]!p_can</f>
        <v>140</v>
      </c>
    </row>
    <row r="31" spans="2:21" ht="13.5" thickBot="1" x14ac:dyDescent="0.25">
      <c r="B31" s="74"/>
      <c r="C31" s="83">
        <f>Beta_rampe</f>
        <v>85</v>
      </c>
      <c r="D31" s="84">
        <f ca="1">Portee_balistique</f>
        <v>515.22511340180665</v>
      </c>
      <c r="E31" s="658">
        <f ca="1">T_para+Dt_para</f>
        <v>208.61423358063311</v>
      </c>
      <c r="F31" s="658"/>
      <c r="G31" s="658"/>
      <c r="H31" s="661">
        <f ca="1">Altitude_culmi</f>
        <v>1592.8848656773607</v>
      </c>
      <c r="I31" s="661"/>
      <c r="J31" s="85">
        <f ca="1">Temps_culmi</f>
        <v>17.699999999999939</v>
      </c>
      <c r="K31" s="86">
        <f ca="1">Vit_culmi</f>
        <v>14.265548444005162</v>
      </c>
      <c r="L31" s="84">
        <f ca="1">Acc_max</f>
        <v>95.168630123741679</v>
      </c>
      <c r="M31" s="86">
        <f ca="1">Vit_max</f>
        <v>198.0242844540212</v>
      </c>
      <c r="N31" s="75"/>
      <c r="O31" s="273" t="s">
        <v>442</v>
      </c>
      <c r="P31" s="441">
        <f>ep_ail</f>
        <v>4</v>
      </c>
      <c r="Q31" s="2"/>
      <c r="R31" s="48"/>
      <c r="S31" s="48"/>
      <c r="T31" s="226" t="s">
        <v>350</v>
      </c>
      <c r="U31" s="525">
        <f>[0]!m_can</f>
        <v>170</v>
      </c>
    </row>
    <row r="32" spans="2:21" ht="13.5" thickBot="1" x14ac:dyDescent="0.25">
      <c r="B32" s="74"/>
      <c r="C32" s="522"/>
      <c r="D32" s="242"/>
      <c r="E32" s="247"/>
      <c r="F32" s="247"/>
      <c r="G32" s="247"/>
      <c r="H32" s="283"/>
      <c r="I32" s="283"/>
      <c r="J32" s="247"/>
      <c r="K32" s="248"/>
      <c r="L32" s="242"/>
      <c r="M32" s="248"/>
      <c r="N32" s="75"/>
      <c r="O32" s="273" t="s">
        <v>441</v>
      </c>
      <c r="P32" s="524">
        <f>Q_ail</f>
        <v>4</v>
      </c>
      <c r="Q32" s="2"/>
      <c r="R32" s="48"/>
      <c r="S32" s="48"/>
      <c r="T32" s="226" t="s">
        <v>436</v>
      </c>
      <c r="U32" s="525">
        <f>[0]!n_can</f>
        <v>80</v>
      </c>
    </row>
    <row r="33" spans="2:21" ht="13.5" thickBot="1" x14ac:dyDescent="0.25">
      <c r="B33" s="74"/>
      <c r="D33" s="80"/>
      <c r="E33" s="81"/>
      <c r="F33" s="81"/>
      <c r="G33" s="81"/>
      <c r="H33" s="82"/>
      <c r="I33" s="82"/>
      <c r="J33" s="81"/>
      <c r="K33" s="76"/>
      <c r="L33" s="80"/>
      <c r="M33" s="76"/>
      <c r="N33" s="75"/>
      <c r="O33" s="2"/>
      <c r="Q33" s="2"/>
      <c r="R33" s="48"/>
      <c r="S33" s="48"/>
      <c r="T33" s="226" t="s">
        <v>437</v>
      </c>
      <c r="U33" s="525">
        <f>[0]!E_can</f>
        <v>110</v>
      </c>
    </row>
    <row r="34" spans="2:21" ht="13.5" thickBot="1" x14ac:dyDescent="0.25"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2"/>
      <c r="P34" s="273" t="s">
        <v>437</v>
      </c>
      <c r="Q34" s="441">
        <f>E_ail</f>
        <v>130</v>
      </c>
      <c r="T34" s="226" t="s">
        <v>442</v>
      </c>
      <c r="U34" s="525">
        <f>[0]!ep_can</f>
        <v>4</v>
      </c>
    </row>
    <row r="35" spans="2:21" x14ac:dyDescent="0.2">
      <c r="O35" s="2"/>
      <c r="P35" s="6"/>
      <c r="Q35" s="6"/>
      <c r="T35" s="226" t="s">
        <v>441</v>
      </c>
      <c r="U35" s="525">
        <f>[0]!Q_can</f>
        <v>4</v>
      </c>
    </row>
    <row r="36" spans="2:21" ht="13.5" thickBot="1" x14ac:dyDescent="0.25">
      <c r="T36" s="2"/>
      <c r="U36" s="12"/>
    </row>
    <row r="37" spans="2:21" x14ac:dyDescent="0.2">
      <c r="B37" s="71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3"/>
      <c r="T37" s="2"/>
    </row>
    <row r="38" spans="2:21" x14ac:dyDescent="0.2">
      <c r="B38" s="74"/>
      <c r="D38" s="2" t="s">
        <v>200</v>
      </c>
      <c r="N38" s="75"/>
    </row>
    <row r="39" spans="2:21" x14ac:dyDescent="0.2">
      <c r="B39" s="74"/>
      <c r="D39" s="2"/>
      <c r="N39" s="75"/>
    </row>
    <row r="40" spans="2:21" x14ac:dyDescent="0.2">
      <c r="B40" s="74"/>
      <c r="D40" s="275" t="s">
        <v>152</v>
      </c>
      <c r="E40" s="246">
        <f>D_ref</f>
        <v>104</v>
      </c>
      <c r="F40" s="265"/>
      <c r="G40" s="265"/>
      <c r="H40" s="261" t="s">
        <v>203</v>
      </c>
      <c r="I40" s="261" t="s">
        <v>204</v>
      </c>
      <c r="J40" s="262" t="s">
        <v>205</v>
      </c>
      <c r="N40" s="75"/>
    </row>
    <row r="41" spans="2:21" x14ac:dyDescent="0.2">
      <c r="B41" s="74"/>
      <c r="D41" s="276" t="s">
        <v>150</v>
      </c>
      <c r="E41" s="6">
        <f>Long_ogive</f>
        <v>275</v>
      </c>
      <c r="F41" s="2"/>
      <c r="G41" s="2" t="s">
        <v>206</v>
      </c>
      <c r="H41" s="6">
        <f>MasseSans</f>
        <v>6.83</v>
      </c>
      <c r="I41" s="6">
        <f ca="1">MasseVide</f>
        <v>7.4820000000000002</v>
      </c>
      <c r="J41" s="244">
        <f ca="1">MassePlein</f>
        <v>8.5150000000000006</v>
      </c>
      <c r="N41" s="75"/>
    </row>
    <row r="42" spans="2:21" x14ac:dyDescent="0.2">
      <c r="B42" s="74"/>
      <c r="D42" s="276" t="s">
        <v>153</v>
      </c>
      <c r="E42" s="6">
        <f>X_ail-m_ail</f>
        <v>1782</v>
      </c>
      <c r="F42" s="255"/>
      <c r="G42" s="255" t="s">
        <v>223</v>
      </c>
      <c r="H42" s="263">
        <f>XcgSans</f>
        <v>1000</v>
      </c>
      <c r="I42" s="263">
        <f ca="1">XcgVide</f>
        <v>1064.8340016038492</v>
      </c>
      <c r="J42" s="245">
        <f ca="1">XcgPlein</f>
        <v>1149.206106870229</v>
      </c>
      <c r="N42" s="75"/>
    </row>
    <row r="43" spans="2:21" x14ac:dyDescent="0.2">
      <c r="B43" s="74"/>
      <c r="D43" s="276" t="str">
        <f>IF(Lang="Français","Emplanture 'm'",IF(Lang="English","Root edge  'm'",""))</f>
        <v>Emplanture 'm'</v>
      </c>
      <c r="E43" s="244">
        <f>m_ail</f>
        <v>190</v>
      </c>
      <c r="N43" s="75"/>
    </row>
    <row r="44" spans="2:21" x14ac:dyDescent="0.2">
      <c r="B44" s="74"/>
      <c r="D44" s="276" t="str">
        <f>IF(Lang="Français","Saumon      'n'",IF(Lang="English","Tip edge    'n'",""))</f>
        <v>Saumon      'n'</v>
      </c>
      <c r="E44" s="244">
        <f>n_ail</f>
        <v>120</v>
      </c>
      <c r="F44" s="246" t="s">
        <v>207</v>
      </c>
      <c r="G44" s="246" t="s">
        <v>212</v>
      </c>
      <c r="H44" s="666">
        <f ca="1">Vsortie_de_rampe</f>
        <v>26.218681291030229</v>
      </c>
      <c r="I44" s="667"/>
      <c r="N44" s="75"/>
    </row>
    <row r="45" spans="2:21" x14ac:dyDescent="0.2">
      <c r="B45" s="74"/>
      <c r="D45" s="276" t="str">
        <f>IF(Lang="Français","Flèche        'p'",IF(Lang="English","Offset         'p'",""))</f>
        <v>Flèche        'p'</v>
      </c>
      <c r="E45" s="244">
        <f>p_ail</f>
        <v>130</v>
      </c>
      <c r="F45" s="6" t="s">
        <v>208</v>
      </c>
      <c r="G45" s="6" t="s">
        <v>213</v>
      </c>
      <c r="H45" s="668">
        <f>Finesse</f>
        <v>19.153846153846153</v>
      </c>
      <c r="I45" s="669"/>
      <c r="N45" s="75"/>
    </row>
    <row r="46" spans="2:21" x14ac:dyDescent="0.2">
      <c r="B46" s="74"/>
      <c r="D46" s="276" t="str">
        <f>IF(Lang="Français","Envergure   'E'",IF(Lang="English","Span          'E'",""))</f>
        <v>Envergure   'E'</v>
      </c>
      <c r="E46" s="244">
        <f>E_ail</f>
        <v>130</v>
      </c>
      <c r="F46" s="6" t="s">
        <v>209</v>
      </c>
      <c r="G46" s="6" t="s">
        <v>214</v>
      </c>
      <c r="H46" s="668">
        <f>Cn</f>
        <v>19.779152282887132</v>
      </c>
      <c r="I46" s="669"/>
      <c r="N46" s="75"/>
    </row>
    <row r="47" spans="2:21" x14ac:dyDescent="0.2">
      <c r="B47" s="74"/>
      <c r="D47" s="276" t="s">
        <v>147</v>
      </c>
      <c r="E47" s="244">
        <f>ep_ail</f>
        <v>4</v>
      </c>
      <c r="F47" s="6" t="s">
        <v>210</v>
      </c>
      <c r="G47" s="6" t="s">
        <v>215</v>
      </c>
      <c r="H47" s="247">
        <f ca="1">MS_min</f>
        <v>1.6722271097381343</v>
      </c>
      <c r="I47" s="254">
        <f ca="1">MS_max</f>
        <v>3.4412190495062154</v>
      </c>
      <c r="N47" s="75"/>
    </row>
    <row r="48" spans="2:21" x14ac:dyDescent="0.2">
      <c r="B48" s="74"/>
      <c r="D48" s="276" t="s">
        <v>148</v>
      </c>
      <c r="E48" s="244">
        <f>Q_ail</f>
        <v>4</v>
      </c>
      <c r="F48" s="274" t="s">
        <v>211</v>
      </c>
      <c r="G48" s="274" t="s">
        <v>216</v>
      </c>
      <c r="H48" s="256">
        <f ca="1">MS_Cn_min</f>
        <v>33.075234655082767</v>
      </c>
      <c r="I48" s="264">
        <f ca="1">MS_Cn_max</f>
        <v>83.208280706100538</v>
      </c>
      <c r="N48" s="75"/>
    </row>
    <row r="49" spans="2:14" x14ac:dyDescent="0.2">
      <c r="B49" s="74"/>
      <c r="D49" s="276" t="s">
        <v>151</v>
      </c>
      <c r="E49" s="244">
        <f ca="1">XpropuRef-Long_propu</f>
        <v>1504</v>
      </c>
      <c r="N49" s="75"/>
    </row>
    <row r="50" spans="2:14" x14ac:dyDescent="0.2">
      <c r="B50" s="74"/>
      <c r="D50" s="276" t="s">
        <v>149</v>
      </c>
      <c r="E50" s="272" t="str">
        <f>Forme_ogive</f>
        <v>Conique (droite)</v>
      </c>
      <c r="F50" s="273" t="s">
        <v>188</v>
      </c>
      <c r="G50" s="275" t="s">
        <v>5</v>
      </c>
      <c r="H50" s="246">
        <f>Cx</f>
        <v>0.5</v>
      </c>
      <c r="I50" s="265"/>
      <c r="J50" s="266"/>
      <c r="N50" s="75"/>
    </row>
    <row r="51" spans="2:14" x14ac:dyDescent="0.2">
      <c r="B51" s="74"/>
      <c r="D51" s="276" t="s">
        <v>145</v>
      </c>
      <c r="E51" s="244">
        <f>Long_tot</f>
        <v>1992</v>
      </c>
      <c r="G51" s="276" t="s">
        <v>217</v>
      </c>
      <c r="H51" s="6">
        <f>Sref</f>
        <v>1.0574866535306801E-2</v>
      </c>
      <c r="J51" s="267"/>
      <c r="N51" s="75"/>
    </row>
    <row r="52" spans="2:14" x14ac:dyDescent="0.2">
      <c r="B52" s="74"/>
      <c r="D52" s="276" t="s">
        <v>201</v>
      </c>
      <c r="E52" s="244">
        <f>MAX(D_ref,D_ail,D_og,(RIGHT(Nb_diam,1)=",")*MAX(D1j,D1r,D2j,D2r))</f>
        <v>104</v>
      </c>
      <c r="G52" s="276" t="s">
        <v>218</v>
      </c>
      <c r="H52" s="6">
        <f>Beta_rampe</f>
        <v>85</v>
      </c>
      <c r="I52" s="6">
        <v>80</v>
      </c>
      <c r="J52" s="244">
        <v>90</v>
      </c>
      <c r="N52" s="75"/>
    </row>
    <row r="53" spans="2:14" x14ac:dyDescent="0.2">
      <c r="B53" s="74"/>
      <c r="D53" s="277" t="s">
        <v>202</v>
      </c>
      <c r="E53" s="260">
        <f>E_ail*2+D_ail</f>
        <v>364</v>
      </c>
      <c r="G53" s="278" t="s">
        <v>220</v>
      </c>
      <c r="H53" s="247">
        <f ca="1">Temps_culmi</f>
        <v>17.699999999999939</v>
      </c>
      <c r="I53" s="259"/>
      <c r="J53" s="268"/>
      <c r="N53" s="75"/>
    </row>
    <row r="54" spans="2:14" x14ac:dyDescent="0.2">
      <c r="B54" s="74"/>
      <c r="G54" s="278" t="s">
        <v>221</v>
      </c>
      <c r="H54" s="242">
        <f ca="1">Altitude_culmi</f>
        <v>1592.8848656773607</v>
      </c>
      <c r="I54" s="259"/>
      <c r="J54" s="268"/>
      <c r="N54" s="75"/>
    </row>
    <row r="55" spans="2:14" x14ac:dyDescent="0.2">
      <c r="B55" s="74"/>
      <c r="C55" s="275" t="s">
        <v>238</v>
      </c>
      <c r="D55" s="249" t="s">
        <v>63</v>
      </c>
      <c r="E55" s="243">
        <f>Long_tot</f>
        <v>1992</v>
      </c>
      <c r="G55" s="278" t="s">
        <v>222</v>
      </c>
      <c r="H55" s="248">
        <f ca="1">Vit_culmi</f>
        <v>14.265548444005162</v>
      </c>
      <c r="I55" s="259"/>
      <c r="J55" s="268"/>
      <c r="N55" s="75"/>
    </row>
    <row r="56" spans="2:14" x14ac:dyDescent="0.2">
      <c r="B56" s="74"/>
      <c r="C56" s="276"/>
      <c r="D56" s="2" t="s">
        <v>224</v>
      </c>
      <c r="E56" s="244">
        <f>MAX(D_ref,D_ail,D_og,(RIGHT(Nb_diam,1)=",")*MAX(D1j,D1r,D2j,D2r))</f>
        <v>104</v>
      </c>
      <c r="G56" s="278" t="s">
        <v>136</v>
      </c>
      <c r="H56" s="242">
        <f ca="1">Portee_balistique</f>
        <v>515.22511340180665</v>
      </c>
      <c r="I56" s="259"/>
      <c r="J56" s="268"/>
      <c r="N56" s="75"/>
    </row>
    <row r="57" spans="2:14" x14ac:dyDescent="0.2">
      <c r="B57" s="74"/>
      <c r="C57" s="276"/>
      <c r="D57" s="2" t="s">
        <v>225</v>
      </c>
      <c r="E57" s="244">
        <f>E_ail*2+D_ail</f>
        <v>364</v>
      </c>
      <c r="G57" s="278" t="s">
        <v>219</v>
      </c>
      <c r="H57" s="242">
        <f ca="1">T_balistique</f>
        <v>37.700000000000223</v>
      </c>
      <c r="I57" s="259"/>
      <c r="J57" s="268"/>
      <c r="N57" s="75"/>
    </row>
    <row r="58" spans="2:14" x14ac:dyDescent="0.2">
      <c r="B58" s="74"/>
      <c r="C58" s="276"/>
      <c r="D58" s="2" t="s">
        <v>226</v>
      </c>
      <c r="E58" s="244">
        <f ca="1">MassePlein</f>
        <v>8.5150000000000006</v>
      </c>
      <c r="G58" s="278" t="s">
        <v>140</v>
      </c>
      <c r="H58" s="248">
        <f ca="1">Vit_max</f>
        <v>198.0242844540212</v>
      </c>
      <c r="I58" s="259"/>
      <c r="J58" s="268"/>
      <c r="N58" s="75"/>
    </row>
    <row r="59" spans="2:14" x14ac:dyDescent="0.2">
      <c r="B59" s="74"/>
      <c r="C59" s="277" t="s">
        <v>239</v>
      </c>
      <c r="D59" s="255" t="s">
        <v>148</v>
      </c>
      <c r="E59" s="260">
        <f>Q_ail</f>
        <v>4</v>
      </c>
      <c r="G59" s="278" t="s">
        <v>139</v>
      </c>
      <c r="H59" s="242">
        <f ca="1">Acc_max</f>
        <v>95.168630123741679</v>
      </c>
      <c r="I59" s="259"/>
      <c r="J59" s="268"/>
      <c r="N59" s="75"/>
    </row>
    <row r="60" spans="2:14" x14ac:dyDescent="0.2">
      <c r="B60" s="74"/>
      <c r="C60" s="12"/>
      <c r="G60" s="269" t="s">
        <v>227</v>
      </c>
      <c r="H60" s="270"/>
      <c r="I60" s="270"/>
      <c r="J60" s="271"/>
      <c r="N60" s="75"/>
    </row>
    <row r="61" spans="2:14" x14ac:dyDescent="0.2">
      <c r="B61" s="74"/>
      <c r="C61" s="275"/>
      <c r="D61" s="249"/>
      <c r="E61" s="246" t="s">
        <v>231</v>
      </c>
      <c r="F61" s="243" t="s">
        <v>232</v>
      </c>
      <c r="G61" s="2"/>
      <c r="H61" s="2"/>
      <c r="I61" s="2"/>
      <c r="J61" s="2"/>
      <c r="K61" s="2"/>
      <c r="N61" s="75"/>
    </row>
    <row r="62" spans="2:14" x14ac:dyDescent="0.2">
      <c r="B62" s="74"/>
      <c r="C62" s="276" t="s">
        <v>240</v>
      </c>
      <c r="D62" s="2" t="s">
        <v>230</v>
      </c>
      <c r="E62" s="242">
        <f ca="1">2*Acc_max*MassePlein</f>
        <v>1620.721771007321</v>
      </c>
      <c r="F62" s="280">
        <f ca="1">E62/9.81</f>
        <v>165.21118970512956</v>
      </c>
      <c r="H62" s="2"/>
      <c r="I62" s="2"/>
      <c r="J62" s="2"/>
      <c r="K62" s="2"/>
      <c r="N62" s="75"/>
    </row>
    <row r="63" spans="2:14" x14ac:dyDescent="0.2">
      <c r="B63" s="74"/>
      <c r="C63" s="276"/>
      <c r="D63" s="2" t="s">
        <v>228</v>
      </c>
      <c r="E63" s="242">
        <f ca="1">2*Acc_max*Masse_ail</f>
        <v>30.68236635189432</v>
      </c>
      <c r="F63" s="248">
        <f ca="1">E63/9.81</f>
        <v>3.1276622173184832</v>
      </c>
      <c r="G63" s="246" t="s">
        <v>234</v>
      </c>
      <c r="H63" s="288">
        <f>S_ail*(ep_ail/1000)*2000</f>
        <v>0.16120000000000001</v>
      </c>
      <c r="I63" s="2"/>
      <c r="J63" s="2"/>
      <c r="K63" s="2"/>
      <c r="N63" s="75"/>
    </row>
    <row r="64" spans="2:14" x14ac:dyDescent="0.2">
      <c r="B64" s="74"/>
      <c r="C64" s="277"/>
      <c r="D64" s="255" t="s">
        <v>229</v>
      </c>
      <c r="E64" s="263">
        <f ca="1">0.104*S_ail*Vit_max^2</f>
        <v>82.176056274579395</v>
      </c>
      <c r="F64" s="281">
        <f ca="1">E64/9.81</f>
        <v>8.3767641462364306</v>
      </c>
      <c r="G64" s="274" t="s">
        <v>233</v>
      </c>
      <c r="H64" s="289">
        <f>(E_ail*(m_ail+n_ail)/2)/10^6</f>
        <v>2.0150000000000001E-2</v>
      </c>
      <c r="I64" s="2"/>
      <c r="J64" s="2"/>
      <c r="K64" s="2"/>
      <c r="N64" s="75"/>
    </row>
    <row r="65" spans="2:14" x14ac:dyDescent="0.2">
      <c r="B65" s="74"/>
      <c r="C65" s="282" t="s">
        <v>247</v>
      </c>
      <c r="D65" s="285" t="s">
        <v>245</v>
      </c>
      <c r="E65" s="286">
        <f ca="1">2*Acc_max*H65</f>
        <v>810.36088550366048</v>
      </c>
      <c r="F65" s="286">
        <f ca="1">E65/9.81</f>
        <v>82.605594852564778</v>
      </c>
      <c r="G65" s="287" t="s">
        <v>246</v>
      </c>
      <c r="H65" s="279">
        <f ca="1">E58/2</f>
        <v>4.2575000000000003</v>
      </c>
      <c r="I65" s="2"/>
      <c r="J65" s="2"/>
      <c r="K65" s="2"/>
      <c r="N65" s="75"/>
    </row>
    <row r="66" spans="2:14" x14ac:dyDescent="0.2">
      <c r="B66" s="74"/>
      <c r="C66" s="6"/>
      <c r="D66" s="2"/>
      <c r="E66" s="2"/>
      <c r="F66" s="2"/>
      <c r="G66" s="2"/>
      <c r="H66" s="2"/>
      <c r="I66" s="2"/>
      <c r="J66" s="2"/>
      <c r="K66" s="2"/>
      <c r="N66" s="75"/>
    </row>
    <row r="67" spans="2:14" x14ac:dyDescent="0.2">
      <c r="B67" s="74"/>
      <c r="F67" s="275" t="s">
        <v>237</v>
      </c>
      <c r="G67" s="249" t="s">
        <v>235</v>
      </c>
      <c r="H67" s="250">
        <f>T_para</f>
        <v>17</v>
      </c>
      <c r="I67" s="251">
        <f ca="1">Temps_culmi</f>
        <v>17.699999999999939</v>
      </c>
      <c r="J67" s="2"/>
      <c r="K67" s="2"/>
      <c r="N67" s="75"/>
    </row>
    <row r="68" spans="2:14" x14ac:dyDescent="0.2">
      <c r="B68" s="74"/>
      <c r="C68" s="6"/>
      <c r="D68" s="2"/>
      <c r="E68" s="2"/>
      <c r="F68" s="275" t="s">
        <v>236</v>
      </c>
      <c r="G68" s="249" t="s">
        <v>132</v>
      </c>
      <c r="H68" s="250">
        <f ca="1">V_para</f>
        <v>8.3000101582346613</v>
      </c>
      <c r="I68" s="251">
        <f>V_satellite</f>
        <v>12.655562623057198</v>
      </c>
      <c r="J68" s="2"/>
      <c r="K68" s="2"/>
      <c r="N68" s="75"/>
    </row>
    <row r="69" spans="2:14" x14ac:dyDescent="0.2">
      <c r="B69" s="74"/>
      <c r="C69" s="6"/>
      <c r="D69" s="2"/>
      <c r="E69" s="2"/>
      <c r="F69" s="276"/>
      <c r="G69" s="2" t="s">
        <v>242</v>
      </c>
      <c r="H69" s="247">
        <f>S_para</f>
        <v>1.5070049999999999</v>
      </c>
      <c r="I69" s="253">
        <f>S_satellite</f>
        <v>0.1</v>
      </c>
      <c r="J69" s="2"/>
      <c r="K69" s="2"/>
      <c r="N69" s="75"/>
    </row>
    <row r="70" spans="2:14" x14ac:dyDescent="0.2">
      <c r="B70" s="74"/>
      <c r="C70" s="226"/>
      <c r="D70" s="2"/>
      <c r="F70" s="276"/>
      <c r="G70" s="2" t="s">
        <v>241</v>
      </c>
      <c r="H70" s="247">
        <f ca="1">V_ouverture</f>
        <v>15.936861194995005</v>
      </c>
      <c r="I70" s="253">
        <f ca="1">V_ouv_sat</f>
        <v>132.15440675537548</v>
      </c>
      <c r="N70" s="75"/>
    </row>
    <row r="71" spans="2:14" x14ac:dyDescent="0.2">
      <c r="B71" s="74"/>
      <c r="C71" s="226"/>
      <c r="F71" s="276"/>
      <c r="G71" s="2" t="s">
        <v>206</v>
      </c>
      <c r="H71" s="247">
        <f ca="1">m_vide</f>
        <v>6.4820000000000002</v>
      </c>
      <c r="I71" s="253">
        <f>m_satellite</f>
        <v>1</v>
      </c>
      <c r="N71" s="75"/>
    </row>
    <row r="72" spans="2:14" x14ac:dyDescent="0.2">
      <c r="B72" s="74"/>
      <c r="C72" s="226"/>
      <c r="F72" s="276"/>
      <c r="G72" s="2" t="s">
        <v>243</v>
      </c>
      <c r="H72" s="283">
        <f ca="1">1/2*Rho_moyen*S_para*V_ouverture^2</f>
        <v>234.4371140104341</v>
      </c>
      <c r="I72" s="284">
        <f ca="1">1/2*Rho_moyen*S_satellite*V_ouv_sat^2</f>
        <v>1069.7182175229955</v>
      </c>
      <c r="N72" s="75"/>
    </row>
    <row r="73" spans="2:14" x14ac:dyDescent="0.2">
      <c r="B73" s="74"/>
      <c r="D73" s="2"/>
      <c r="F73" s="277"/>
      <c r="G73" s="255" t="s">
        <v>244</v>
      </c>
      <c r="H73" s="256">
        <f ca="1">H72/9.81</f>
        <v>23.897769012276665</v>
      </c>
      <c r="I73" s="257">
        <f ca="1">I72/9.81</f>
        <v>109.04365112364887</v>
      </c>
      <c r="N73" s="75"/>
    </row>
    <row r="74" spans="2:14" ht="13.5" thickBot="1" x14ac:dyDescent="0.25">
      <c r="B74" s="77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9"/>
    </row>
    <row r="76" spans="2:14" ht="13.5" thickBot="1" x14ac:dyDescent="0.25"/>
    <row r="77" spans="2:14" x14ac:dyDescent="0.2">
      <c r="B77" s="71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3"/>
    </row>
    <row r="78" spans="2:14" x14ac:dyDescent="0.2">
      <c r="B78" s="74"/>
      <c r="D78" s="2" t="s">
        <v>339</v>
      </c>
      <c r="N78" s="75"/>
    </row>
    <row r="79" spans="2:14" ht="12.75" customHeight="1" x14ac:dyDescent="0.25">
      <c r="B79" s="74"/>
      <c r="E79" s="48"/>
      <c r="F79" s="48"/>
      <c r="G79" s="435" t="s">
        <v>345</v>
      </c>
      <c r="I79" s="448"/>
      <c r="J79" s="48"/>
      <c r="K79" s="48"/>
      <c r="N79" s="75"/>
    </row>
    <row r="80" spans="2:14" x14ac:dyDescent="0.2">
      <c r="B80" s="74"/>
      <c r="C80" s="275" t="s">
        <v>340</v>
      </c>
      <c r="D80" s="243" t="str">
        <f>Nom</f>
        <v>Ma fusée</v>
      </c>
      <c r="E80" s="48"/>
      <c r="F80" s="48"/>
      <c r="G80" s="48"/>
      <c r="H80" s="48"/>
      <c r="I80" s="48"/>
      <c r="J80" s="48"/>
      <c r="K80" s="48"/>
      <c r="N80" s="75"/>
    </row>
    <row r="81" spans="2:14" ht="13.5" thickBot="1" x14ac:dyDescent="0.25">
      <c r="B81" s="74"/>
      <c r="C81" s="276" t="s">
        <v>4</v>
      </c>
      <c r="D81" s="244" t="str">
        <f>Club</f>
        <v>Mon club</v>
      </c>
      <c r="E81" s="48"/>
      <c r="F81" s="48"/>
      <c r="G81" s="48"/>
      <c r="H81" s="48"/>
      <c r="I81" s="48"/>
      <c r="J81" s="48"/>
      <c r="K81" s="48"/>
      <c r="N81" s="75"/>
    </row>
    <row r="82" spans="2:14" ht="13.5" thickBot="1" x14ac:dyDescent="0.25">
      <c r="B82" s="74"/>
      <c r="C82" s="432" t="s">
        <v>341</v>
      </c>
      <c r="D82" s="244" t="s">
        <v>14</v>
      </c>
      <c r="E82" s="273" t="s">
        <v>346</v>
      </c>
      <c r="F82" s="441">
        <f>Long_ogive</f>
        <v>275</v>
      </c>
      <c r="G82" s="48"/>
      <c r="H82" s="48"/>
      <c r="I82" s="48"/>
      <c r="J82" s="48"/>
      <c r="K82" s="48"/>
      <c r="N82" s="75"/>
    </row>
    <row r="83" spans="2:14" x14ac:dyDescent="0.2">
      <c r="B83" s="74"/>
      <c r="C83" s="277" t="s">
        <v>342</v>
      </c>
      <c r="D83" s="433">
        <f ca="1">TODAY()</f>
        <v>45883</v>
      </c>
      <c r="E83" s="48"/>
      <c r="F83" s="436"/>
      <c r="G83" s="48"/>
      <c r="H83" s="48"/>
      <c r="I83" s="48"/>
      <c r="J83" s="48"/>
      <c r="K83" s="48"/>
      <c r="N83" s="75"/>
    </row>
    <row r="84" spans="2:14" ht="13.5" thickBot="1" x14ac:dyDescent="0.25">
      <c r="B84" s="74"/>
      <c r="E84" s="48"/>
      <c r="F84" s="436"/>
      <c r="G84" s="48"/>
      <c r="H84" s="48"/>
      <c r="I84" s="48"/>
      <c r="J84" s="440">
        <f>IF(RIGHT(Nb_diam,1)=",", "", X_j)</f>
        <v>1035</v>
      </c>
      <c r="K84" s="48"/>
      <c r="N84" s="75"/>
    </row>
    <row r="85" spans="2:14" ht="13.5" thickBot="1" x14ac:dyDescent="0.25">
      <c r="B85" s="74"/>
      <c r="C85" s="275" t="s">
        <v>343</v>
      </c>
      <c r="D85" s="243" t="str">
        <f>Propu</f>
        <v>Barasinga (Pro54-5G)</v>
      </c>
      <c r="E85" s="273" t="s">
        <v>347</v>
      </c>
      <c r="F85" s="441">
        <f>D_og</f>
        <v>84</v>
      </c>
      <c r="G85" s="48"/>
      <c r="H85" s="48"/>
      <c r="I85" s="48"/>
      <c r="J85" s="436"/>
      <c r="K85" s="48"/>
      <c r="N85" s="75"/>
    </row>
    <row r="86" spans="2:14" x14ac:dyDescent="0.2">
      <c r="B86" s="74"/>
      <c r="C86" s="277" t="s">
        <v>344</v>
      </c>
      <c r="D86" s="260" t="s">
        <v>14</v>
      </c>
      <c r="E86" s="48"/>
      <c r="F86" s="436"/>
      <c r="G86" s="48"/>
      <c r="H86" s="48"/>
      <c r="I86" s="48"/>
      <c r="J86" s="440">
        <f>IF(RIGHT(Nb_diam,1)=",", "", X_r)</f>
        <v>1942</v>
      </c>
      <c r="K86" s="48"/>
      <c r="N86" s="75"/>
    </row>
    <row r="87" spans="2:14" x14ac:dyDescent="0.2">
      <c r="B87" s="74"/>
      <c r="E87" s="48"/>
      <c r="F87" s="436"/>
      <c r="G87" s="48"/>
      <c r="H87" s="48"/>
      <c r="I87" s="48"/>
      <c r="J87" s="436"/>
      <c r="K87" s="48"/>
      <c r="N87" s="75"/>
    </row>
    <row r="88" spans="2:14" x14ac:dyDescent="0.2">
      <c r="B88" s="74"/>
      <c r="E88" s="48"/>
      <c r="F88" s="436"/>
      <c r="G88" s="48"/>
      <c r="H88" s="48"/>
      <c r="I88" s="48"/>
      <c r="J88" s="440">
        <f>IF(RIGHT(Nb_diam,1)=",", "", l_j)</f>
        <v>75</v>
      </c>
      <c r="K88" s="48"/>
      <c r="N88" s="75"/>
    </row>
    <row r="89" spans="2:14" ht="13.5" thickBot="1" x14ac:dyDescent="0.25">
      <c r="B89" s="74"/>
      <c r="E89" s="48"/>
      <c r="F89" s="436"/>
      <c r="G89" s="48"/>
      <c r="H89" s="48"/>
      <c r="I89" s="48"/>
      <c r="J89" s="436"/>
      <c r="K89" s="48"/>
      <c r="N89" s="75"/>
    </row>
    <row r="90" spans="2:14" ht="13.5" thickBot="1" x14ac:dyDescent="0.25">
      <c r="B90" s="74"/>
      <c r="E90" s="434" t="s">
        <v>348</v>
      </c>
      <c r="F90" s="440">
        <f>IF(RIGHT(Nb_diam,1)=",", "", D2j)</f>
        <v>104</v>
      </c>
      <c r="G90" s="48"/>
      <c r="H90" s="48"/>
      <c r="I90" s="48"/>
      <c r="J90" s="441">
        <f>X_ail-m_ail</f>
        <v>1782</v>
      </c>
      <c r="K90" s="2"/>
      <c r="N90" s="75"/>
    </row>
    <row r="91" spans="2:14" x14ac:dyDescent="0.2">
      <c r="B91" s="74"/>
      <c r="E91" s="48"/>
      <c r="F91" s="436"/>
      <c r="G91" s="48"/>
      <c r="H91" s="48"/>
      <c r="I91" s="48"/>
      <c r="J91" s="436"/>
      <c r="K91" s="48"/>
      <c r="N91" s="75"/>
    </row>
    <row r="92" spans="2:14" x14ac:dyDescent="0.2">
      <c r="B92" s="74"/>
      <c r="E92" s="48"/>
      <c r="F92" s="436"/>
      <c r="G92" s="48"/>
      <c r="H92" s="48"/>
      <c r="I92" s="48"/>
      <c r="J92" s="440">
        <f>IF(RIGHT(Nb_diam,1)=",", "", l_r)</f>
        <v>50</v>
      </c>
      <c r="K92" s="48"/>
      <c r="N92" s="75"/>
    </row>
    <row r="93" spans="2:14" x14ac:dyDescent="0.2">
      <c r="B93" s="74"/>
      <c r="E93" s="48"/>
      <c r="F93" s="436"/>
      <c r="G93" s="48"/>
      <c r="H93" s="48"/>
      <c r="I93" s="48"/>
      <c r="J93" s="436"/>
      <c r="K93" s="48"/>
      <c r="N93" s="75"/>
    </row>
    <row r="94" spans="2:14" x14ac:dyDescent="0.2">
      <c r="B94" s="74"/>
      <c r="E94" s="434" t="s">
        <v>349</v>
      </c>
      <c r="F94" s="440">
        <f>IF(RIGHT(Nb_diam,1)=",", "", D2r)</f>
        <v>104</v>
      </c>
      <c r="G94" s="48"/>
      <c r="H94" s="48"/>
      <c r="I94" s="48"/>
      <c r="J94" s="436"/>
      <c r="K94" s="48"/>
      <c r="N94" s="75"/>
    </row>
    <row r="95" spans="2:14" x14ac:dyDescent="0.2">
      <c r="B95" s="74"/>
      <c r="E95" s="48"/>
      <c r="F95" s="436"/>
      <c r="G95" s="48"/>
      <c r="H95" s="48"/>
      <c r="I95" s="48"/>
      <c r="J95" s="436"/>
      <c r="K95" s="48"/>
      <c r="N95" s="75"/>
    </row>
    <row r="96" spans="2:14" ht="13.5" thickBot="1" x14ac:dyDescent="0.25">
      <c r="B96" s="74"/>
      <c r="E96" s="48"/>
      <c r="F96" s="436"/>
      <c r="G96" s="48"/>
      <c r="H96" s="48"/>
      <c r="I96" s="48"/>
      <c r="J96" s="436"/>
      <c r="K96" s="48"/>
      <c r="N96" s="75"/>
    </row>
    <row r="97" spans="2:14" ht="13.5" thickBot="1" x14ac:dyDescent="0.25">
      <c r="B97" s="74"/>
      <c r="E97" s="273" t="s">
        <v>350</v>
      </c>
      <c r="F97" s="441">
        <f>m_ail</f>
        <v>190</v>
      </c>
      <c r="G97" s="48"/>
      <c r="H97" s="48"/>
      <c r="I97" s="48"/>
      <c r="J97" s="441">
        <f>p_ail</f>
        <v>130</v>
      </c>
      <c r="K97" s="2"/>
      <c r="N97" s="75"/>
    </row>
    <row r="98" spans="2:14" x14ac:dyDescent="0.2">
      <c r="B98" s="74"/>
      <c r="E98" s="48"/>
      <c r="F98" s="48"/>
      <c r="G98" s="48"/>
      <c r="H98" s="48"/>
      <c r="I98" s="48"/>
      <c r="J98" s="436"/>
      <c r="K98" s="48"/>
      <c r="N98" s="75"/>
    </row>
    <row r="99" spans="2:14" x14ac:dyDescent="0.2">
      <c r="B99" s="74"/>
      <c r="E99" s="48"/>
      <c r="F99" s="48"/>
      <c r="G99" s="48"/>
      <c r="H99" s="48"/>
      <c r="I99" s="48"/>
      <c r="J99" s="436"/>
      <c r="K99" s="48"/>
      <c r="N99" s="75"/>
    </row>
    <row r="100" spans="2:14" ht="13.5" thickBot="1" x14ac:dyDescent="0.25">
      <c r="B100" s="74"/>
      <c r="D100" s="429" t="s">
        <v>352</v>
      </c>
      <c r="E100" s="246">
        <f>Q_ail</f>
        <v>4</v>
      </c>
      <c r="F100" s="430"/>
      <c r="G100" s="48"/>
      <c r="H100" s="48"/>
      <c r="I100" s="48"/>
      <c r="J100" s="436"/>
      <c r="K100" s="48"/>
      <c r="N100" s="75"/>
    </row>
    <row r="101" spans="2:14" ht="13.5" thickBot="1" x14ac:dyDescent="0.25">
      <c r="B101" s="74"/>
      <c r="D101" s="437" t="s">
        <v>356</v>
      </c>
      <c r="E101" s="6">
        <f ca="1">XpropuRef-Long_propu</f>
        <v>1504</v>
      </c>
      <c r="F101" s="252"/>
      <c r="G101" s="48"/>
      <c r="H101" s="48"/>
      <c r="I101" s="48"/>
      <c r="J101" s="441">
        <f>n_ail</f>
        <v>120</v>
      </c>
      <c r="K101" s="2"/>
      <c r="N101" s="75"/>
    </row>
    <row r="102" spans="2:14" x14ac:dyDescent="0.2">
      <c r="B102" s="74"/>
      <c r="D102" s="437" t="s">
        <v>353</v>
      </c>
      <c r="E102" s="6">
        <f>IF(LEFT(Forme_ogive,4)="Ogiv",1,0)</f>
        <v>0</v>
      </c>
      <c r="F102" s="252" t="s">
        <v>354</v>
      </c>
      <c r="G102" s="48"/>
      <c r="H102" s="48"/>
      <c r="I102" s="48"/>
      <c r="J102" s="436"/>
      <c r="K102" s="48"/>
      <c r="N102" s="75"/>
    </row>
    <row r="103" spans="2:14" x14ac:dyDescent="0.2">
      <c r="B103" s="74"/>
      <c r="D103" s="437"/>
      <c r="E103" s="6">
        <f>IF(LEFT(Forme_ogive,3)="Con",1,0)</f>
        <v>1</v>
      </c>
      <c r="F103" s="252" t="s">
        <v>163</v>
      </c>
      <c r="G103" s="48"/>
      <c r="H103" s="48"/>
      <c r="I103" s="48"/>
      <c r="J103" s="436"/>
      <c r="K103" s="48"/>
      <c r="N103" s="75"/>
    </row>
    <row r="104" spans="2:14" ht="13.5" thickBot="1" x14ac:dyDescent="0.25">
      <c r="B104" s="74"/>
      <c r="D104" s="431"/>
      <c r="E104" s="274">
        <f>IF(LEFT(Forme_ogive,5)="Parab",1,0)</f>
        <v>0</v>
      </c>
      <c r="F104" s="289" t="s">
        <v>355</v>
      </c>
      <c r="G104" s="48"/>
      <c r="H104" s="48"/>
      <c r="I104" s="48"/>
      <c r="J104" s="12" t="s">
        <v>351</v>
      </c>
      <c r="K104" s="48"/>
      <c r="N104" s="75"/>
    </row>
    <row r="105" spans="2:14" ht="13.5" thickBot="1" x14ac:dyDescent="0.25">
      <c r="B105" s="74"/>
      <c r="D105" s="2"/>
      <c r="E105" s="2"/>
      <c r="F105" s="2"/>
      <c r="G105" s="273"/>
      <c r="H105" s="441">
        <f>E_ail</f>
        <v>130</v>
      </c>
      <c r="I105" s="273"/>
      <c r="J105" s="441">
        <f>ep_ail</f>
        <v>4</v>
      </c>
      <c r="K105" s="48"/>
      <c r="N105" s="75"/>
    </row>
    <row r="106" spans="2:14" x14ac:dyDescent="0.2">
      <c r="B106" s="74"/>
      <c r="D106" s="429"/>
      <c r="E106" s="246" t="s">
        <v>360</v>
      </c>
      <c r="F106" s="243" t="s">
        <v>359</v>
      </c>
      <c r="N106" s="75"/>
    </row>
    <row r="107" spans="2:14" x14ac:dyDescent="0.2">
      <c r="B107" s="74"/>
      <c r="D107" s="437" t="s">
        <v>357</v>
      </c>
      <c r="E107" s="6">
        <f>MasseSans</f>
        <v>6.83</v>
      </c>
      <c r="F107" s="244">
        <f ca="1">MassePlein</f>
        <v>8.5150000000000006</v>
      </c>
      <c r="N107" s="75"/>
    </row>
    <row r="108" spans="2:14" x14ac:dyDescent="0.2">
      <c r="B108" s="74"/>
      <c r="D108" s="431" t="s">
        <v>358</v>
      </c>
      <c r="E108" s="274">
        <f>XcgSans</f>
        <v>1000</v>
      </c>
      <c r="F108" s="260">
        <f ca="1">XcgPlein</f>
        <v>1149.206106870229</v>
      </c>
      <c r="N108" s="75"/>
    </row>
    <row r="109" spans="2:14" x14ac:dyDescent="0.2">
      <c r="B109" s="74"/>
      <c r="N109" s="75"/>
    </row>
    <row r="110" spans="2:14" x14ac:dyDescent="0.2">
      <c r="B110" s="74"/>
      <c r="D110" s="438" t="s">
        <v>361</v>
      </c>
      <c r="E110" s="439">
        <f ca="1">MasseVide</f>
        <v>7.4820000000000002</v>
      </c>
      <c r="G110" s="429" t="s">
        <v>362</v>
      </c>
      <c r="H110" s="265"/>
      <c r="I110" s="265"/>
      <c r="J110" s="266"/>
      <c r="N110" s="75"/>
    </row>
    <row r="111" spans="2:14" x14ac:dyDescent="0.2">
      <c r="B111" s="74"/>
      <c r="G111" s="276" t="s">
        <v>218</v>
      </c>
      <c r="H111" s="6">
        <f>Beta_rampe</f>
        <v>85</v>
      </c>
      <c r="I111" s="6">
        <v>80</v>
      </c>
      <c r="J111" s="244">
        <v>90</v>
      </c>
      <c r="N111" s="75"/>
    </row>
    <row r="112" spans="2:14" x14ac:dyDescent="0.2">
      <c r="B112" s="74"/>
      <c r="G112" s="278" t="s">
        <v>220</v>
      </c>
      <c r="H112" s="247">
        <f ca="1">Temps_culmi</f>
        <v>17.699999999999939</v>
      </c>
      <c r="I112" s="259"/>
      <c r="J112" s="268"/>
      <c r="N112" s="75"/>
    </row>
    <row r="113" spans="2:14" ht="12.75" customHeight="1" x14ac:dyDescent="0.25">
      <c r="B113" s="74"/>
      <c r="D113" s="435" t="s">
        <v>363</v>
      </c>
      <c r="E113" s="48"/>
      <c r="G113" s="278" t="s">
        <v>221</v>
      </c>
      <c r="H113" s="242">
        <f ca="1">Altitude_culmi</f>
        <v>1592.8848656773607</v>
      </c>
      <c r="I113" s="259"/>
      <c r="J113" s="268"/>
      <c r="N113" s="75"/>
    </row>
    <row r="114" spans="2:14" ht="12.75" customHeight="1" x14ac:dyDescent="0.25">
      <c r="B114" s="74"/>
      <c r="D114" s="48"/>
      <c r="E114" s="48"/>
      <c r="F114" s="435"/>
      <c r="G114" s="278" t="s">
        <v>222</v>
      </c>
      <c r="H114" s="248">
        <f ca="1">Vit_culmi</f>
        <v>14.265548444005162</v>
      </c>
      <c r="I114" s="259"/>
      <c r="J114" s="268"/>
      <c r="N114" s="75"/>
    </row>
    <row r="115" spans="2:14" x14ac:dyDescent="0.2">
      <c r="B115" s="74"/>
      <c r="C115" s="429" t="s">
        <v>364</v>
      </c>
      <c r="D115" s="249"/>
      <c r="E115" s="446">
        <v>0.1</v>
      </c>
      <c r="G115" s="278" t="s">
        <v>136</v>
      </c>
      <c r="H115" s="242">
        <f ca="1">Portee_balistique</f>
        <v>515.22511340180665</v>
      </c>
      <c r="I115" s="259"/>
      <c r="J115" s="268"/>
      <c r="N115" s="75"/>
    </row>
    <row r="116" spans="2:14" ht="12.75" customHeight="1" x14ac:dyDescent="0.2">
      <c r="B116" s="74"/>
      <c r="C116" s="431" t="s">
        <v>365</v>
      </c>
      <c r="D116" s="255"/>
      <c r="E116" s="447">
        <f>E_ail*(m_ail+n_ail)/2</f>
        <v>20150</v>
      </c>
      <c r="G116" s="278" t="s">
        <v>140</v>
      </c>
      <c r="H116" s="248">
        <f ca="1">Vit_max</f>
        <v>198.0242844540212</v>
      </c>
      <c r="I116" s="259"/>
      <c r="J116" s="268"/>
      <c r="N116" s="75"/>
    </row>
    <row r="117" spans="2:14" ht="12.75" customHeight="1" x14ac:dyDescent="0.2">
      <c r="B117" s="74"/>
      <c r="D117" s="48"/>
      <c r="E117" s="48"/>
      <c r="F117" s="48"/>
      <c r="G117" s="278" t="s">
        <v>139</v>
      </c>
      <c r="H117" s="242">
        <f ca="1">Acc_max</f>
        <v>95.168630123741679</v>
      </c>
      <c r="I117" s="259"/>
      <c r="J117" s="268"/>
      <c r="N117" s="75"/>
    </row>
    <row r="118" spans="2:14" x14ac:dyDescent="0.2">
      <c r="B118" s="74"/>
      <c r="C118" s="429" t="s">
        <v>366</v>
      </c>
      <c r="D118" s="249"/>
      <c r="E118" s="457"/>
      <c r="F118" s="458">
        <f>J90/100</f>
        <v>17.82</v>
      </c>
      <c r="G118" s="276" t="s">
        <v>5</v>
      </c>
      <c r="H118" s="6">
        <f>Cx</f>
        <v>0.5</v>
      </c>
      <c r="I118" s="259"/>
      <c r="J118" s="268"/>
      <c r="N118" s="75"/>
    </row>
    <row r="119" spans="2:14" x14ac:dyDescent="0.2">
      <c r="B119" s="74"/>
      <c r="C119" s="437" t="s">
        <v>367</v>
      </c>
      <c r="D119" s="2"/>
      <c r="E119" s="459">
        <f ca="1">2*Acc_max*MasseSans</f>
        <v>1300.0034874903113</v>
      </c>
      <c r="F119" s="460">
        <f ca="1">E119/g</f>
        <v>132.51819444345679</v>
      </c>
      <c r="G119" s="269" t="s">
        <v>227</v>
      </c>
      <c r="H119" s="270"/>
      <c r="I119" s="270"/>
      <c r="J119" s="271"/>
      <c r="N119" s="75"/>
    </row>
    <row r="120" spans="2:14" x14ac:dyDescent="0.2">
      <c r="B120" s="74"/>
      <c r="C120" s="437" t="s">
        <v>368</v>
      </c>
      <c r="D120" s="2"/>
      <c r="E120" s="459">
        <f ca="1">2*Acc_max*E115</f>
        <v>19.033726024748336</v>
      </c>
      <c r="F120" s="460">
        <f ca="1">E120/g</f>
        <v>1.9402371075176692</v>
      </c>
      <c r="N120" s="75"/>
    </row>
    <row r="121" spans="2:14" x14ac:dyDescent="0.2">
      <c r="B121" s="74"/>
      <c r="C121" s="431" t="s">
        <v>369</v>
      </c>
      <c r="D121" s="255"/>
      <c r="E121" s="452">
        <f ca="1">0.104*E116/1000000*Vit_max^2</f>
        <v>82.176056274579395</v>
      </c>
      <c r="F121" s="453">
        <f ca="1">E121/g</f>
        <v>8.3767641462364306</v>
      </c>
      <c r="G121" s="48"/>
      <c r="H121" s="48"/>
      <c r="I121" s="48"/>
      <c r="J121" s="48"/>
      <c r="N121" s="75"/>
    </row>
    <row r="122" spans="2:14" ht="12.75" customHeight="1" x14ac:dyDescent="0.2">
      <c r="B122" s="74"/>
      <c r="H122" s="48"/>
      <c r="I122" s="48"/>
      <c r="J122" s="48"/>
      <c r="N122" s="75"/>
    </row>
    <row r="123" spans="2:14" ht="12.75" customHeight="1" x14ac:dyDescent="0.25">
      <c r="B123" s="74"/>
      <c r="G123" s="435"/>
      <c r="H123" s="435"/>
      <c r="I123" s="435"/>
      <c r="J123" s="48"/>
      <c r="N123" s="75"/>
    </row>
    <row r="124" spans="2:14" ht="12.75" customHeight="1" x14ac:dyDescent="0.25">
      <c r="B124" s="74"/>
      <c r="C124" s="48"/>
      <c r="D124" s="435" t="s">
        <v>370</v>
      </c>
      <c r="E124" s="448"/>
      <c r="J124" s="48"/>
      <c r="K124" s="48"/>
      <c r="N124" s="75"/>
    </row>
    <row r="125" spans="2:14" x14ac:dyDescent="0.2">
      <c r="B125" s="74"/>
      <c r="C125" s="445" t="s">
        <v>371</v>
      </c>
      <c r="J125" s="48"/>
      <c r="K125" s="48"/>
      <c r="N125" s="75"/>
    </row>
    <row r="126" spans="2:14" x14ac:dyDescent="0.2">
      <c r="B126" s="74"/>
      <c r="C126" s="429" t="s">
        <v>372</v>
      </c>
      <c r="D126" s="249"/>
      <c r="E126" s="449">
        <v>4</v>
      </c>
      <c r="G126" s="48"/>
      <c r="J126" s="48"/>
      <c r="N126" s="75"/>
    </row>
    <row r="127" spans="2:14" x14ac:dyDescent="0.2">
      <c r="B127" s="74"/>
      <c r="C127" s="431" t="s">
        <v>373</v>
      </c>
      <c r="D127" s="255"/>
      <c r="E127" s="456">
        <f>S_para</f>
        <v>1.5070049999999999</v>
      </c>
      <c r="G127" s="48"/>
      <c r="J127" s="48"/>
      <c r="N127" s="75"/>
    </row>
    <row r="128" spans="2:14" x14ac:dyDescent="0.2">
      <c r="B128" s="74"/>
      <c r="C128" s="664" t="s">
        <v>374</v>
      </c>
      <c r="D128" s="665"/>
      <c r="E128" s="450">
        <f ca="1">0.5*Rho_moyen*S_para*Vit_culmi^2</f>
        <v>187.84417493977179</v>
      </c>
      <c r="F128" s="451">
        <f ca="1">E128/g</f>
        <v>19.148233938814656</v>
      </c>
      <c r="H128" s="48"/>
      <c r="I128" s="48"/>
      <c r="J128" s="48"/>
      <c r="K128" s="48"/>
      <c r="N128" s="75"/>
    </row>
    <row r="129" spans="2:14" x14ac:dyDescent="0.2">
      <c r="B129" s="74"/>
      <c r="C129" s="662" t="s">
        <v>375</v>
      </c>
      <c r="D129" s="663"/>
      <c r="E129" s="452">
        <f ca="1">E128/E126*2</f>
        <v>93.922087469885895</v>
      </c>
      <c r="F129" s="453">
        <f ca="1">E129/g</f>
        <v>9.5741169694073278</v>
      </c>
      <c r="H129" s="48"/>
      <c r="I129" s="48"/>
      <c r="J129" s="48"/>
      <c r="K129" s="48"/>
      <c r="N129" s="75"/>
    </row>
    <row r="130" spans="2:14" x14ac:dyDescent="0.2">
      <c r="B130" s="74"/>
      <c r="C130" s="47"/>
      <c r="D130" s="47"/>
      <c r="E130" s="443"/>
      <c r="F130" s="444"/>
      <c r="H130" s="48"/>
      <c r="I130" s="48"/>
      <c r="J130" s="48"/>
      <c r="K130" s="48"/>
      <c r="N130" s="75"/>
    </row>
    <row r="131" spans="2:14" x14ac:dyDescent="0.2">
      <c r="B131" s="74"/>
      <c r="C131" s="445" t="s">
        <v>376</v>
      </c>
      <c r="D131" s="48"/>
      <c r="E131" s="48"/>
      <c r="F131" s="48"/>
      <c r="G131" s="48"/>
      <c r="H131" s="48"/>
      <c r="I131" s="48"/>
      <c r="J131" s="48"/>
      <c r="K131" s="48"/>
      <c r="N131" s="75"/>
    </row>
    <row r="132" spans="2:14" x14ac:dyDescent="0.2">
      <c r="B132" s="74"/>
      <c r="C132" s="664" t="s">
        <v>377</v>
      </c>
      <c r="D132" s="665"/>
      <c r="E132" s="454">
        <v>1</v>
      </c>
      <c r="F132" s="48"/>
      <c r="G132" s="48"/>
      <c r="H132" s="48"/>
      <c r="I132" s="48"/>
      <c r="J132" s="442"/>
      <c r="K132" s="48"/>
      <c r="N132" s="75"/>
    </row>
    <row r="133" spans="2:14" x14ac:dyDescent="0.2">
      <c r="B133" s="74"/>
      <c r="C133" s="662" t="s">
        <v>378</v>
      </c>
      <c r="D133" s="663"/>
      <c r="E133" s="455">
        <f ca="1">2*E132*Acc_max/g</f>
        <v>19.402371075176692</v>
      </c>
      <c r="F133" s="48"/>
      <c r="G133" s="48"/>
      <c r="H133" s="48"/>
      <c r="I133" s="48"/>
      <c r="J133" s="48"/>
      <c r="K133" s="48"/>
      <c r="N133" s="75"/>
    </row>
    <row r="134" spans="2:14" ht="13.5" thickBot="1" x14ac:dyDescent="0.25">
      <c r="B134" s="77"/>
      <c r="C134" s="461"/>
      <c r="D134" s="461"/>
      <c r="E134" s="461"/>
      <c r="F134" s="461"/>
      <c r="G134" s="461"/>
      <c r="H134" s="461"/>
      <c r="I134" s="461"/>
      <c r="J134" s="461"/>
      <c r="K134" s="461"/>
      <c r="L134" s="78"/>
      <c r="M134" s="78"/>
      <c r="N134" s="79"/>
    </row>
  </sheetData>
  <sheetProtection password="C6AC" sheet="1"/>
  <mergeCells count="22">
    <mergeCell ref="H11:I11"/>
    <mergeCell ref="H12:I12"/>
    <mergeCell ref="H13:I13"/>
    <mergeCell ref="H29:K29"/>
    <mergeCell ref="C29:C30"/>
    <mergeCell ref="D29:D30"/>
    <mergeCell ref="H17:I17"/>
    <mergeCell ref="H18:I18"/>
    <mergeCell ref="H19:I19"/>
    <mergeCell ref="E29:G30"/>
    <mergeCell ref="C133:D133"/>
    <mergeCell ref="C128:D128"/>
    <mergeCell ref="C129:D129"/>
    <mergeCell ref="C132:D132"/>
    <mergeCell ref="H44:I44"/>
    <mergeCell ref="H45:I45"/>
    <mergeCell ref="H46:I46"/>
    <mergeCell ref="E31:G31"/>
    <mergeCell ref="M29:M30"/>
    <mergeCell ref="H30:I30"/>
    <mergeCell ref="L29:L30"/>
    <mergeCell ref="H31:I31"/>
  </mergeCells>
  <phoneticPr fontId="8" type="noConversion"/>
  <conditionalFormatting sqref="D18:E18">
    <cfRule type="expression" dxfId="2" priority="2" stopIfTrue="1">
      <formula>IF(Propu="Cariacou",0,1)</formula>
    </cfRule>
  </conditionalFormatting>
  <conditionalFormatting sqref="F18:I19">
    <cfRule type="expression" dxfId="1" priority="1" stopIfTrue="1">
      <formula>IF(Propu="Cariacou",1,0)</formula>
    </cfRule>
  </conditionalFormatting>
  <conditionalFormatting sqref="I16 I68:I73">
    <cfRule type="expression" dxfId="0" priority="6" stopIfTrue="1">
      <formula>Nb_sat="0 satellite"</formula>
    </cfRule>
  </conditionalFormatting>
  <pageMargins left="0.39370078740157483" right="0.39370078740157483" top="0.39370078740157483" bottom="0.39370078740157483" header="0" footer="0"/>
  <pageSetup paperSize="9" scale="61" orientation="portrait"/>
  <ignoredErrors>
    <ignoredError sqref="H65 H63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214</vt:i4>
      </vt:variant>
    </vt:vector>
  </HeadingPairs>
  <TitlesOfParts>
    <vt:vector size="222" baseType="lpstr">
      <vt:lpstr>Stabilito</vt:lpstr>
      <vt:lpstr>Trajecto</vt:lpstr>
      <vt:lpstr>Courbes</vt:lpstr>
      <vt:lpstr>Propu</vt:lpstr>
      <vt:lpstr>Calculs</vt:lpstr>
      <vt:lpstr>Abaco</vt:lpstr>
      <vt:lpstr>Info</vt:lpstr>
      <vt:lpstr>Controle</vt:lpstr>
      <vt:lpstr>a_prop</vt:lpstr>
      <vt:lpstr>Acc_max</vt:lpstr>
      <vt:lpstr>acc_x</vt:lpstr>
      <vt:lpstr>acc_xz</vt:lpstr>
      <vt:lpstr>acc_z</vt:lpstr>
      <vt:lpstr>Alt_para</vt:lpstr>
      <vt:lpstr>alt_prop</vt:lpstr>
      <vt:lpstr>Alt_rampe</vt:lpstr>
      <vt:lpstr>Alt_sat</vt:lpstr>
      <vt:lpstr>Altitude_culmi</vt:lpstr>
      <vt:lpstr>b_bal</vt:lpstr>
      <vt:lpstr>b_prop</vt:lpstr>
      <vt:lpstr>Beta</vt:lpstr>
      <vt:lpstr>Beta_rampe</vt:lpstr>
      <vt:lpstr>BetaD</vt:lpstr>
      <vt:lpstr>CdP</vt:lpstr>
      <vt:lpstr>CdP_P</vt:lpstr>
      <vt:lpstr>CdP_t</vt:lpstr>
      <vt:lpstr>Club</vt:lpstr>
      <vt:lpstr>Cn</vt:lpstr>
      <vt:lpstr>Cn0</vt:lpstr>
      <vt:lpstr>Stabilito!Cnai</vt:lpstr>
      <vt:lpstr>Cnai0</vt:lpstr>
      <vt:lpstr>Stabilito!Cnail</vt:lpstr>
      <vt:lpstr>Stabilito!Cnc</vt:lpstr>
      <vt:lpstr>Stabilito!Cni</vt:lpstr>
      <vt:lpstr>Cni0</vt:lpstr>
      <vt:lpstr>Stabilito!Cnj</vt:lpstr>
      <vt:lpstr>Stabilito!Cno</vt:lpstr>
      <vt:lpstr>Stabilito!Cnr</vt:lpstr>
      <vt:lpstr>Combustion</vt:lpstr>
      <vt:lpstr>Stabilito!CritCnmax</vt:lpstr>
      <vt:lpstr>Stabilito!CritCnmin</vt:lpstr>
      <vt:lpstr>Stabilito!CritFinessemax</vt:lpstr>
      <vt:lpstr>Stabilito!CritFinessemin</vt:lpstr>
      <vt:lpstr>Stabilito!CritMsCnmax</vt:lpstr>
      <vt:lpstr>Stabilito!CritMsCnmin</vt:lpstr>
      <vt:lpstr>Stabilito!CritMsmax</vt:lpstr>
      <vt:lpstr>Stabilito!CritMsmin</vt:lpstr>
      <vt:lpstr>Cx</vt:lpstr>
      <vt:lpstr>Cx_para</vt:lpstr>
      <vt:lpstr>Cx_satellite</vt:lpstr>
      <vt:lpstr>D_ail</vt:lpstr>
      <vt:lpstr>Stabilito!D_can</vt:lpstr>
      <vt:lpstr>Stabilito!D_int</vt:lpstr>
      <vt:lpstr>D_og</vt:lpstr>
      <vt:lpstr>D_ref</vt:lpstr>
      <vt:lpstr>D_var</vt:lpstr>
      <vt:lpstr>D1j</vt:lpstr>
      <vt:lpstr>D1r</vt:lpstr>
      <vt:lpstr>D2j</vt:lpstr>
      <vt:lpstr>D2r</vt:lpstr>
      <vt:lpstr>Débit</vt:lpstr>
      <vt:lpstr>Depotage</vt:lpstr>
      <vt:lpstr>Diam_propu</vt:lpstr>
      <vt:lpstr>Dt_para</vt:lpstr>
      <vt:lpstr>Dt_satellite</vt:lpstr>
      <vt:lpstr>Dx_para</vt:lpstr>
      <vt:lpstr>Dx_sat</vt:lpstr>
      <vt:lpstr>E_ail</vt:lpstr>
      <vt:lpstr>E_can</vt:lpstr>
      <vt:lpstr>Stabilito!E_int</vt:lpstr>
      <vt:lpstr>ep_ail</vt:lpstr>
      <vt:lpstr>ep_can</vt:lpstr>
      <vt:lpstr>Stabilito!ep_int</vt:lpstr>
      <vt:lpstr>Event</vt:lpstr>
      <vt:lpstr>Event_para</vt:lpstr>
      <vt:lpstr>Event_sat</vt:lpstr>
      <vt:lpstr>Stabilito!f_ail</vt:lpstr>
      <vt:lpstr>Stabilito!f_can</vt:lpstr>
      <vt:lpstr>Stabilito!f_int</vt:lpstr>
      <vt:lpstr>Finesse</vt:lpstr>
      <vt:lpstr>Forme_ogive</vt:lpstr>
      <vt:lpstr>g</vt:lpstr>
      <vt:lpstr>i_P</vt:lpstr>
      <vt:lpstr>I_total</vt:lpstr>
      <vt:lpstr>ISP</vt:lpstr>
      <vt:lpstr>l_j</vt:lpstr>
      <vt:lpstr>l_r</vt:lpstr>
      <vt:lpstr>L_rampe</vt:lpstr>
      <vt:lpstr>Lang</vt:lpstr>
      <vt:lpstr>Liste_µfu</vt:lpstr>
      <vt:lpstr>Liste_fusex</vt:lpstr>
      <vt:lpstr>Liste_H2O</vt:lpstr>
      <vt:lpstr>Liste_minif</vt:lpstr>
      <vt:lpstr>Liste_minifT</vt:lpstr>
      <vt:lpstr>Liste_propu</vt:lpstr>
      <vt:lpstr>Liste_RC</vt:lpstr>
      <vt:lpstr>Long_ogive</vt:lpstr>
      <vt:lpstr>Long_propu</vt:lpstr>
      <vt:lpstr>Long_tot</vt:lpstr>
      <vt:lpstr>m</vt:lpstr>
      <vt:lpstr>m_ail</vt:lpstr>
      <vt:lpstr>m_bal</vt:lpstr>
      <vt:lpstr>m_can</vt:lpstr>
      <vt:lpstr>Stabilito!m_int</vt:lpstr>
      <vt:lpstr>m_poudre</vt:lpstr>
      <vt:lpstr>m_prop</vt:lpstr>
      <vt:lpstr>m_satellite</vt:lpstr>
      <vt:lpstr>m_tot</vt:lpstr>
      <vt:lpstr>m_var</vt:lpstr>
      <vt:lpstr>m_vide</vt:lpstr>
      <vt:lpstr>Masse_ail</vt:lpstr>
      <vt:lpstr>MassePlein</vt:lpstr>
      <vt:lpstr>MasseSans</vt:lpstr>
      <vt:lpstr>MasseVide</vt:lpstr>
      <vt:lpstr>Menu_Empennage</vt:lpstr>
      <vt:lpstr>Menu_Lang</vt:lpstr>
      <vt:lpstr>Menu_Ogive</vt:lpstr>
      <vt:lpstr>Menu_sat</vt:lpstr>
      <vt:lpstr>Menu_Transitions</vt:lpstr>
      <vt:lpstr>Menu_Type</vt:lpstr>
      <vt:lpstr>Menu_with_motor</vt:lpstr>
      <vt:lpstr>MpropuPlein</vt:lpstr>
      <vt:lpstr>MpropuVide</vt:lpstr>
      <vt:lpstr>MS_Cn_max</vt:lpstr>
      <vt:lpstr>MS_Cn_min</vt:lpstr>
      <vt:lpstr>MS_max</vt:lpstr>
      <vt:lpstr>MS_min</vt:lpstr>
      <vt:lpstr>n_ail</vt:lpstr>
      <vt:lpstr>n_can</vt:lpstr>
      <vt:lpstr>Stabilito!n_int</vt:lpstr>
      <vt:lpstr>Nb_diam</vt:lpstr>
      <vt:lpstr>Nb_sat</vt:lpstr>
      <vt:lpstr>Nom</vt:lpstr>
      <vt:lpstr>p_ail</vt:lpstr>
      <vt:lpstr>p_can</vt:lpstr>
      <vt:lpstr>Stabilito!p_int</vt:lpstr>
      <vt:lpstr>pas</vt:lpstr>
      <vt:lpstr>Poids</vt:lpstr>
      <vt:lpstr>Portee_balistique</vt:lpstr>
      <vt:lpstr>pos_x</vt:lpstr>
      <vt:lpstr>pos_xz</vt:lpstr>
      <vt:lpstr>pos_z</vt:lpstr>
      <vt:lpstr>pos_z_montant</vt:lpstr>
      <vt:lpstr>Poussee</vt:lpstr>
      <vt:lpstr>Propu</vt:lpstr>
      <vt:lpstr>Q_ail</vt:lpstr>
      <vt:lpstr>Q_can</vt:lpstr>
      <vt:lpstr>Stabilito!Q_int</vt:lpstr>
      <vt:lpstr>Q_var</vt:lpstr>
      <vt:lpstr>R_rampe</vt:lpstr>
      <vt:lpstr>Rho</vt:lpstr>
      <vt:lpstr>Rho_moyen</vt:lpstr>
      <vt:lpstr>S_ail</vt:lpstr>
      <vt:lpstr>S_para</vt:lpstr>
      <vt:lpstr>S_para_croix</vt:lpstr>
      <vt:lpstr>S_para_rond</vt:lpstr>
      <vt:lpstr>S_satellite</vt:lpstr>
      <vt:lpstr>Sref</vt:lpstr>
      <vt:lpstr>sS</vt:lpstr>
      <vt:lpstr>t</vt:lpstr>
      <vt:lpstr>T_balistique</vt:lpstr>
      <vt:lpstr>T_ini</vt:lpstr>
      <vt:lpstr>T_para</vt:lpstr>
      <vt:lpstr>T_satellite</vt:lpstr>
      <vt:lpstr>Temps_culmi</vt:lpstr>
      <vt:lpstr>Temps_fin_propu</vt:lpstr>
      <vt:lpstr>Trainee</vt:lpstr>
      <vt:lpstr>tT_fus</vt:lpstr>
      <vt:lpstr>tT_sat</vt:lpstr>
      <vt:lpstr>Type_fusee</vt:lpstr>
      <vt:lpstr>Abaco!Type_masquage</vt:lpstr>
      <vt:lpstr>Stabilito!Type_masquage</vt:lpstr>
      <vt:lpstr>Type_propu</vt:lpstr>
      <vt:lpstr>V_ini</vt:lpstr>
      <vt:lpstr>V_ouv_sat</vt:lpstr>
      <vt:lpstr>V_ouverture</vt:lpstr>
      <vt:lpstr>V_para</vt:lpstr>
      <vt:lpstr>V_prop</vt:lpstr>
      <vt:lpstr>V_satellite</vt:lpstr>
      <vt:lpstr>V_vent</vt:lpstr>
      <vt:lpstr>V_vent_sat</vt:lpstr>
      <vt:lpstr>Stabilito!Version</vt:lpstr>
      <vt:lpstr>Trajecto!Version</vt:lpstr>
      <vt:lpstr>Vit_culmi</vt:lpstr>
      <vt:lpstr>Vit_max</vt:lpstr>
      <vt:lpstr>vit_x</vt:lpstr>
      <vt:lpstr>vit_xz</vt:lpstr>
      <vt:lpstr>vit_z</vt:lpstr>
      <vt:lpstr>Vsortie_de_rampe</vt:lpstr>
      <vt:lpstr>X_ail</vt:lpstr>
      <vt:lpstr>X_can</vt:lpstr>
      <vt:lpstr>X_culmi</vt:lpstr>
      <vt:lpstr>X_ini</vt:lpstr>
      <vt:lpstr>Stabilito!X_int</vt:lpstr>
      <vt:lpstr>X_j</vt:lpstr>
      <vt:lpstr>X_para</vt:lpstr>
      <vt:lpstr>X_r</vt:lpstr>
      <vt:lpstr>X_satellite</vt:lpstr>
      <vt:lpstr>XcgPlein</vt:lpstr>
      <vt:lpstr>XcgSans</vt:lpstr>
      <vt:lpstr>XcgVide</vt:lpstr>
      <vt:lpstr>Stabilito!XCp</vt:lpstr>
      <vt:lpstr>XCp0</vt:lpstr>
      <vt:lpstr>Stabilito!XCpa</vt:lpstr>
      <vt:lpstr>Stabilito!XCpai</vt:lpstr>
      <vt:lpstr>XCpai0</vt:lpstr>
      <vt:lpstr>Stabilito!XCpc</vt:lpstr>
      <vt:lpstr>Stabilito!XCpi</vt:lpstr>
      <vt:lpstr>XCpi0</vt:lpstr>
      <vt:lpstr>Stabilito!XCpj</vt:lpstr>
      <vt:lpstr>Stabilito!XCpo</vt:lpstr>
      <vt:lpstr>Stabilito!XCpr</vt:lpstr>
      <vt:lpstr>XpropuPlein</vt:lpstr>
      <vt:lpstr>XpropuRef</vt:lpstr>
      <vt:lpstr>XpropuVide</vt:lpstr>
      <vt:lpstr>Z_ini</vt:lpstr>
      <vt:lpstr>Abaco!Zone_d_impression</vt:lpstr>
      <vt:lpstr>Courbes!Zone_d_impression</vt:lpstr>
      <vt:lpstr>Stabilito!Zone_d_impression</vt:lpstr>
      <vt:lpstr>Trajecto!Zone_d_impression</vt:lpstr>
      <vt:lpstr>zZ_fus</vt:lpstr>
      <vt:lpstr>zZ_sat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StabTraj</dc:title>
  <dc:creator>Léo Côme;Sylvain Besson</dc:creator>
  <cp:lastModifiedBy>Alexis Paillard</cp:lastModifiedBy>
  <cp:lastPrinted>2011-11-08T21:12:34Z</cp:lastPrinted>
  <dcterms:created xsi:type="dcterms:W3CDTF">2008-11-03T20:48:06Z</dcterms:created>
  <dcterms:modified xsi:type="dcterms:W3CDTF">2025-08-14T08:08:48Z</dcterms:modified>
</cp:coreProperties>
</file>